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ocuments\Contabilidad\CUENTAS PUBLICAS\2020\CTA PUBLICA 2020\CTA_PUB_ANUAL_20\"/>
    </mc:Choice>
  </mc:AlternateContent>
  <xr:revisionPtr revIDLastSave="0" documentId="13_ncr:1_{EA2E43AF-999A-4EA8-962F-132F81B10B46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tabRatio="870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8" i="6" l="1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<sst xmlns="http://schemas.openxmlformats.org/spreadsheetml/2006/main" count="4244" uniqueCount="3306">
  <si>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</si>
  <si>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</si>
  <si>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</si>
  <si>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</si>
  <si>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</si>
  <si>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</si>
  <si>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</si>
  <si>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</si>
  <si>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</si>
  <si>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</si>
  <si>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</si>
  <si>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</si>
  <si>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</si>
  <si>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</si>
  <si>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</si>
  <si>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</si>
  <si>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</si>
  <si>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</si>
  <si>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</si>
  <si>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</si>
  <si>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</si>
  <si>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</si>
  <si>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</si>
  <si>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</si>
  <si>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</si>
  <si>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</si>
  <si>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</si>
  <si>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</si>
  <si>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</si>
  <si>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</si>
  <si>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</si>
  <si>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</si>
  <si>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</si>
  <si>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</si>
  <si>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</si>
  <si>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</si>
  <si>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</si>
  <si>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</si>
  <si>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</si>
  <si>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</si>
  <si>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</si>
  <si>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</si>
  <si>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</si>
  <si>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</si>
  <si>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</si>
  <si>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</si>
  <si>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</si>
  <si>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</si>
  <si>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</si>
  <si>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</si>
  <si>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</si>
  <si>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</si>
  <si>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</si>
  <si>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</si>
  <si>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</si>
  <si>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</si>
  <si>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</si>
  <si>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</si>
  <si>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</si>
  <si>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</si>
  <si>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</si>
  <si>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</si>
  <si>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</si>
  <si>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</si>
  <si>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</si>
  <si>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</si>
  <si>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</si>
  <si>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</si>
  <si>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</si>
  <si>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</si>
  <si>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</si>
  <si>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</si>
  <si>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</si>
  <si>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</si>
  <si>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</si>
  <si>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</si>
  <si>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</si>
  <si>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</si>
  <si>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</si>
  <si>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</si>
  <si>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</si>
  <si>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</si>
  <si>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</si>
  <si>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</si>
  <si>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</si>
  <si>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</si>
  <si>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</si>
  <si>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</si>
  <si>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</si>
  <si>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</si>
  <si>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</si>
  <si>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</si>
  <si>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</si>
  <si>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</si>
  <si>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</si>
  <si>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</si>
  <si>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</si>
  <si>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</si>
  <si>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</si>
  <si>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</si>
  <si>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</si>
  <si>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</si>
  <si>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</si>
  <si>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</si>
  <si>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</si>
  <si>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</si>
  <si>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</si>
  <si>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</si>
  <si>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</si>
  <si>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</si>
  <si>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</si>
  <si>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</si>
  <si>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</si>
  <si>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</si>
  <si>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</si>
  <si>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</si>
  <si>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</si>
  <si>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</si>
  <si>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</si>
  <si>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</si>
  <si>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</si>
  <si>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</si>
  <si>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</si>
  <si>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</si>
  <si>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</si>
  <si>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</si>
  <si>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</si>
  <si>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</si>
  <si>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</si>
  <si>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</si>
  <si>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</si>
  <si>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</si>
  <si>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</si>
  <si>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</si>
  <si>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</si>
  <si>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</si>
  <si>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</si>
  <si>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</si>
  <si>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</si>
  <si>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</si>
  <si>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</si>
  <si>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</si>
  <si>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</si>
  <si>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</si>
  <si>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</si>
  <si>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</si>
  <si>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</si>
  <si>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</si>
  <si>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</si>
  <si>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</si>
  <si>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</si>
  <si>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</si>
  <si>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</si>
  <si>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</si>
  <si>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</si>
  <si>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</si>
  <si>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</si>
  <si>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</si>
  <si>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</si>
  <si>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</si>
  <si>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</si>
  <si>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</si>
  <si>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</si>
  <si>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</si>
  <si>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</si>
  <si>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</si>
  <si>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</si>
  <si>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</si>
  <si>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</si>
  <si>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</si>
  <si>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</si>
  <si>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</si>
  <si>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</si>
  <si>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</si>
  <si>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</si>
  <si>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</si>
  <si>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</si>
  <si>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</si>
  <si>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</si>
  <si>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</si>
  <si>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</si>
  <si>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</si>
  <si>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</si>
  <si>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</si>
  <si>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</si>
  <si>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</si>
  <si>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</si>
  <si>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</si>
  <si>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</si>
  <si>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</si>
  <si>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</si>
  <si>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</si>
  <si>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</si>
  <si>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</si>
  <si>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</si>
  <si>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</si>
  <si>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</si>
  <si>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</si>
  <si>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</si>
  <si>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</si>
  <si>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</si>
  <si>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</si>
  <si>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</si>
  <si>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</si>
  <si>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</si>
  <si>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</si>
  <si>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</si>
  <si>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</si>
  <si>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</si>
  <si>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</si>
  <si>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</si>
  <si>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</si>
  <si>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</si>
  <si>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</si>
  <si>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</si>
  <si>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</si>
  <si>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</si>
  <si>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</si>
  <si>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</si>
  <si>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</si>
  <si>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</si>
  <si>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</si>
  <si>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</si>
  <si>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</si>
  <si>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</si>
  <si>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</si>
  <si>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</si>
  <si>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</si>
  <si>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</si>
  <si>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</si>
  <si>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</si>
  <si>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</si>
  <si>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</si>
  <si>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</si>
  <si>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</si>
  <si>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</si>
  <si>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</si>
  <si>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</si>
  <si>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</si>
  <si>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</si>
  <si>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</si>
  <si>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</si>
  <si>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</si>
  <si>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</si>
  <si>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</si>
  <si>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</si>
  <si>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</si>
  <si>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</si>
  <si>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</si>
  <si>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</si>
  <si>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</si>
  <si>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</si>
  <si>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</si>
  <si>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</si>
  <si>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</si>
  <si>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</si>
  <si>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</si>
  <si>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</si>
  <si>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</si>
  <si>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</si>
  <si>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</si>
  <si>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</si>
  <si>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</si>
  <si>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</si>
  <si>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</si>
  <si>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</si>
  <si>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</si>
  <si>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</si>
  <si>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</si>
  <si>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</si>
  <si>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</si>
  <si>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</si>
  <si>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</si>
  <si>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</si>
  <si>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</si>
  <si>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</si>
  <si>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</si>
  <si>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</si>
  <si>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</si>
  <si>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</si>
  <si>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</si>
  <si>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</si>
  <si>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</si>
  <si>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</si>
  <si>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</si>
  <si>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</si>
  <si>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</si>
  <si>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</si>
  <si>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</si>
  <si>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</si>
  <si>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</si>
  <si>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</si>
  <si>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</si>
  <si>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</si>
  <si>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</si>
  <si>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</si>
  <si>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</si>
  <si>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</si>
  <si>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</si>
  <si>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</si>
  <si>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</si>
  <si>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</si>
  <si>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</si>
  <si>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</si>
  <si>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</si>
  <si>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</si>
  <si>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</si>
  <si>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</si>
  <si>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</si>
  <si>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</si>
  <si>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</si>
  <si>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</si>
  <si>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</si>
  <si>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</si>
  <si>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</si>
  <si>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</si>
  <si>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</si>
  <si>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</si>
  <si>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</si>
  <si>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</si>
  <si>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</si>
  <si>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</si>
  <si>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</si>
  <si>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</si>
  <si>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</si>
  <si>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</si>
  <si>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</si>
  <si>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</si>
  <si>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</si>
  <si>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</si>
  <si>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</si>
  <si>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</si>
  <si>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</si>
  <si>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</si>
  <si>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</si>
  <si>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</si>
  <si>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</si>
  <si>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</si>
  <si>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</si>
  <si>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</si>
  <si>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</si>
  <si>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</si>
  <si>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</si>
  <si>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</si>
  <si>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</si>
  <si>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</si>
  <si>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</si>
  <si>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</si>
  <si>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</si>
  <si>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</si>
  <si>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</si>
  <si>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</si>
  <si>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</si>
  <si>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</si>
  <si>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</si>
  <si>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</si>
  <si>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</si>
  <si>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</si>
  <si>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</si>
  <si>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</si>
  <si>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</si>
  <si>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</si>
  <si>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</si>
  <si>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</si>
  <si>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</si>
  <si>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</si>
  <si>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</si>
  <si>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</si>
  <si>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</si>
  <si>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</si>
  <si>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</si>
  <si>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</si>
  <si>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</si>
  <si>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</si>
  <si>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</si>
  <si>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</si>
  <si>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</si>
  <si>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</si>
  <si>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</si>
  <si>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</si>
  <si>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</si>
  <si>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</si>
  <si>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</si>
  <si>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</si>
  <si>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</si>
  <si>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</si>
  <si>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</si>
  <si>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</si>
  <si>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</si>
  <si>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</si>
  <si>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</si>
  <si>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</si>
  <si>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</si>
  <si>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</si>
  <si>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</si>
  <si>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</si>
  <si>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</si>
  <si>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</si>
  <si>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</si>
  <si>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</si>
  <si>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</si>
  <si>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</si>
  <si>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</si>
  <si>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</si>
  <si>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</si>
  <si>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</si>
  <si>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</si>
  <si>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</si>
  <si>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</si>
  <si>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</si>
  <si>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</si>
  <si>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</si>
  <si>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</si>
  <si>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</si>
  <si>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</si>
  <si>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</si>
  <si>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</si>
  <si>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</si>
  <si>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</si>
  <si>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</si>
  <si>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</si>
  <si>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</si>
  <si>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</si>
  <si>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</si>
  <si>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</si>
  <si>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</si>
  <si>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</si>
  <si>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</si>
  <si>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</si>
  <si>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</si>
  <si>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</si>
  <si>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</si>
  <si>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</si>
  <si>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</si>
  <si>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</si>
  <si>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</si>
  <si>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</si>
  <si>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</si>
  <si>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</si>
  <si>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</si>
  <si>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</si>
  <si>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</si>
  <si>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</si>
  <si>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</si>
  <si>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</si>
  <si>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</si>
  <si>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</si>
  <si>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</si>
  <si>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</si>
  <si>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</si>
  <si>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</si>
  <si>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</si>
  <si>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</si>
  <si>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</si>
  <si>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</si>
  <si>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</si>
  <si>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</si>
  <si>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</si>
  <si>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</si>
  <si>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</si>
  <si>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</si>
  <si>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</si>
  <si>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</si>
  <si>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</si>
  <si>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</si>
  <si>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</si>
  <si>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</si>
  <si>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</si>
  <si>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</si>
  <si>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</si>
  <si>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</si>
  <si>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</si>
  <si>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</si>
  <si>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</si>
  <si>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</si>
  <si>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</si>
  <si>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</si>
  <si>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</si>
  <si>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</si>
  <si>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</si>
  <si>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</si>
  <si>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</si>
  <si>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</si>
  <si>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</si>
  <si>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</si>
  <si>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</si>
  <si>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</si>
  <si>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</si>
  <si>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</si>
  <si>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</si>
  <si>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</si>
  <si>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</si>
  <si>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</si>
  <si>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</si>
  <si>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</si>
  <si>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</si>
  <si>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</si>
  <si>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</si>
  <si>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</si>
  <si>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</si>
  <si>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</si>
  <si>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</si>
  <si>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</si>
  <si>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</si>
  <si>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</si>
  <si>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</si>
  <si>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</si>
  <si>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</si>
  <si>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</si>
  <si>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</si>
  <si>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</si>
  <si>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</si>
  <si>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</si>
  <si>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</si>
  <si>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</si>
  <si>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</si>
  <si>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</si>
  <si>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</si>
  <si>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</si>
  <si>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</si>
  <si>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</si>
  <si>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</si>
  <si>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</si>
  <si>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</si>
  <si>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</si>
  <si>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</si>
  <si>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</si>
  <si>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</si>
  <si>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</si>
  <si>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</si>
  <si>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</si>
  <si>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</si>
  <si>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</si>
  <si>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</si>
  <si>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</si>
  <si>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</si>
  <si>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</si>
  <si>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</si>
  <si>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</si>
  <si>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</si>
  <si>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</si>
  <si>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</si>
  <si>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</si>
  <si>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</si>
  <si>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</si>
  <si>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</si>
  <si>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</si>
  <si>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</si>
  <si>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</si>
  <si>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</si>
  <si>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</si>
  <si>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</si>
  <si>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</si>
  <si>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</si>
  <si>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</si>
  <si>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</si>
  <si>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</si>
  <si>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</si>
  <si>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</si>
  <si>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</si>
  <si>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</si>
  <si>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</si>
  <si>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</si>
  <si>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</si>
  <si>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</si>
  <si>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</si>
  <si>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</si>
  <si>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</si>
  <si>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</si>
  <si>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</si>
  <si>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</si>
  <si>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</si>
  <si>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</si>
  <si>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</si>
  <si>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</si>
  <si>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</si>
  <si>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</si>
  <si>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</si>
  <si>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</si>
  <si>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</si>
  <si>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</si>
  <si>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</si>
  <si>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</si>
  <si>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</si>
  <si>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</si>
  <si>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</si>
  <si>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</si>
  <si>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</si>
  <si>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</si>
  <si>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</si>
  <si>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</si>
  <si>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</si>
  <si>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</si>
  <si>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</si>
  <si>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</si>
  <si>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</si>
  <si>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</si>
  <si>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</si>
  <si>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</si>
  <si>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</si>
  <si>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</si>
  <si>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</si>
  <si>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</si>
  <si>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</si>
  <si>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</si>
  <si>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</si>
  <si>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</si>
  <si>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</si>
  <si>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</si>
  <si>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</si>
  <si>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</si>
  <si>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</si>
  <si>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</si>
  <si>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</si>
  <si>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</si>
  <si>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</si>
  <si>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</si>
  <si>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</si>
  <si>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</si>
  <si>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</si>
  <si>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</si>
  <si>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</si>
  <si>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</si>
  <si>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</si>
  <si>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</si>
  <si>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</si>
  <si>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</si>
  <si>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</si>
  <si>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</si>
  <si>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</si>
  <si>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</si>
  <si>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</si>
  <si>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</si>
  <si>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</si>
  <si>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</si>
  <si>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</si>
  <si>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</si>
  <si>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</si>
  <si>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</si>
  <si>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</si>
  <si>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</si>
  <si>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</si>
  <si>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</si>
  <si>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</si>
  <si>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</si>
  <si>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</si>
  <si>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</si>
  <si>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</si>
  <si>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</si>
  <si>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</si>
  <si>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</si>
  <si>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</si>
  <si>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</si>
  <si>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</si>
  <si>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</si>
  <si>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</si>
  <si>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</si>
  <si>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</si>
  <si>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</si>
  <si>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</si>
  <si>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</si>
  <si>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</si>
  <si>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</si>
  <si>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</si>
  <si>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</si>
  <si>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</si>
  <si>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</si>
  <si>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</si>
  <si>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</si>
  <si>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</si>
  <si>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</si>
  <si>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</si>
  <si>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</si>
  <si>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</si>
  <si>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</si>
  <si>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</si>
  <si>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</si>
  <si>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</si>
  <si>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</si>
  <si>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</si>
  <si>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</si>
  <si>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</si>
  <si>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</si>
  <si>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</si>
  <si>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</si>
  <si>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</si>
  <si>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</si>
  <si>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</si>
  <si>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</si>
  <si>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</si>
  <si>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</si>
  <si>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</si>
  <si>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</si>
  <si>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</si>
  <si>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</si>
  <si>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</si>
  <si>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</si>
  <si>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</si>
  <si>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</si>
  <si>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</si>
  <si>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</si>
  <si>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</si>
  <si>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</si>
  <si>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</si>
  <si>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</si>
  <si>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</si>
  <si>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</si>
  <si>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</si>
  <si>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</si>
  <si>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</si>
  <si>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</si>
  <si>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</si>
  <si>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</si>
  <si>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</si>
  <si>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</si>
  <si>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</si>
  <si>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</si>
  <si>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</si>
  <si>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</si>
  <si>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</si>
  <si>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</si>
  <si>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</si>
  <si>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</si>
  <si>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</si>
  <si>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</si>
  <si>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</si>
  <si>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</si>
  <si>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</si>
  <si>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</si>
  <si>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</si>
  <si>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</si>
  <si>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</si>
  <si>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</si>
  <si>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</si>
  <si>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</si>
  <si>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</si>
  <si>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</si>
  <si>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</si>
  <si>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</si>
  <si>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</si>
  <si>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</si>
  <si>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</si>
  <si>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</si>
  <si>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</si>
  <si>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</si>
  <si>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</si>
  <si>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</si>
  <si>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</si>
  <si>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</si>
  <si>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</si>
  <si>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</si>
  <si>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</si>
  <si>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</si>
  <si>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</si>
  <si>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</si>
  <si>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</si>
  <si>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</si>
  <si>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</si>
  <si>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</si>
  <si>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</si>
  <si>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</si>
  <si>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</si>
  <si>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</si>
  <si>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</si>
  <si>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</si>
  <si>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</si>
  <si>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</si>
  <si>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</si>
  <si>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</si>
  <si>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</si>
  <si>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</si>
  <si>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</si>
  <si>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</si>
  <si>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</si>
  <si>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</si>
  <si>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</si>
  <si>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</si>
  <si>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</si>
  <si>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</si>
  <si>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</si>
  <si>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</si>
  <si>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</si>
  <si>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</si>
  <si>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</si>
  <si>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</si>
  <si>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</si>
  <si>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</si>
  <si>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</si>
  <si>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</si>
  <si>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</si>
  <si>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</si>
  <si>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</si>
  <si>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</si>
  <si>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</si>
  <si>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</si>
  <si>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</si>
  <si>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</si>
  <si>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</si>
  <si>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</si>
  <si>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</si>
  <si>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</si>
  <si>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</si>
  <si>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</si>
  <si>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</si>
  <si>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</si>
  <si>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</si>
  <si>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</si>
  <si>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</si>
  <si>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</si>
  <si>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</si>
  <si>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</si>
  <si>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</si>
  <si>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</si>
  <si>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</si>
  <si>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</si>
  <si>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</si>
  <si>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</si>
  <si>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</si>
  <si>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</si>
  <si>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</si>
  <si>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</si>
  <si>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</si>
  <si>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</si>
  <si>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</si>
  <si>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</si>
  <si>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</si>
  <si>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</si>
  <si>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</si>
  <si>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</si>
  <si>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</si>
  <si>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</si>
  <si>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</si>
  <si>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</si>
  <si>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</si>
  <si>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</si>
  <si>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</si>
  <si>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</si>
  <si>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</si>
  <si>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</si>
  <si>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</si>
  <si>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</si>
  <si>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</si>
  <si>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</si>
  <si>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</si>
  <si>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</si>
  <si>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</si>
  <si>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</si>
  <si>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</si>
  <si>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</si>
  <si>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</si>
  <si>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</si>
  <si>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</si>
  <si>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</si>
  <si>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</si>
  <si>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</si>
  <si>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</si>
  <si>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</si>
  <si>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</si>
  <si>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</si>
  <si>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</si>
  <si>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</si>
  <si>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</si>
  <si>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</si>
  <si>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</si>
  <si>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</si>
  <si>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</si>
  <si>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</si>
  <si>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</si>
  <si>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</si>
  <si>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</si>
  <si>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</si>
  <si>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</si>
  <si>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</si>
  <si>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</si>
  <si>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</si>
  <si>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</si>
  <si>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</si>
  <si>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</si>
  <si>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</si>
  <si>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</si>
  <si>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</si>
  <si>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</si>
  <si>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</si>
  <si>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</si>
  <si>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</si>
  <si>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</si>
  <si>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</si>
  <si>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</si>
  <si>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</si>
  <si>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</si>
  <si>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</si>
  <si>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</si>
  <si>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</si>
  <si>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</si>
  <si>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</si>
  <si>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</si>
  <si>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</si>
  <si>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</si>
  <si>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</si>
  <si>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</si>
  <si>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</si>
  <si>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</si>
  <si>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</si>
  <si>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</si>
  <si>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</si>
  <si>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</si>
  <si>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</si>
  <si>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</si>
  <si>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</si>
  <si>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</si>
  <si>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</si>
  <si>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</si>
  <si>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</si>
  <si>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</si>
  <si>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</si>
  <si>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</si>
  <si>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</si>
  <si>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</si>
  <si>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</si>
  <si>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</si>
  <si>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</si>
  <si>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</si>
  <si>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</si>
  <si>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</si>
  <si>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</si>
  <si>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</si>
  <si>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</si>
  <si>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</si>
  <si>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</si>
  <si>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</si>
  <si>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</si>
  <si>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</si>
  <si>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</si>
  <si>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</si>
  <si>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</si>
  <si>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</si>
  <si>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</si>
  <si>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</si>
  <si>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</si>
  <si>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</si>
  <si>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</si>
  <si>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</si>
  <si>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</si>
  <si>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</si>
  <si>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</si>
  <si>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</si>
  <si>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</si>
  <si>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</si>
  <si>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</si>
  <si>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</si>
  <si>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</si>
  <si>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</si>
  <si>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</si>
  <si>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</si>
  <si>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</si>
  <si>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</si>
  <si>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</si>
  <si>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</si>
  <si>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</si>
  <si>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</si>
  <si>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</si>
  <si>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</si>
  <si>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</si>
  <si>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</si>
  <si>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</si>
  <si>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</si>
  <si>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</si>
  <si>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</si>
  <si>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</si>
  <si>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</si>
  <si>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</si>
  <si>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</si>
  <si>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</si>
  <si>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</si>
  <si>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</si>
  <si>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</si>
  <si>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</si>
  <si>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</si>
  <si>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</si>
  <si>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</si>
  <si>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</si>
  <si>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</si>
  <si>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</si>
  <si>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</si>
  <si>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</si>
  <si>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</si>
  <si>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</si>
  <si>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</si>
  <si>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</si>
  <si>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</si>
  <si>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</si>
  <si>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</si>
  <si>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</si>
  <si>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</si>
  <si>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</si>
  <si>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</si>
  <si>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</si>
  <si>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</si>
  <si>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</si>
  <si>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</si>
  <si>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</si>
  <si>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</si>
  <si>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</si>
  <si>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</si>
  <si>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</si>
  <si>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</si>
  <si>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</si>
  <si>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</si>
  <si>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</si>
  <si>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</si>
  <si>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</si>
  <si>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</si>
  <si>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</si>
  <si>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</si>
  <si>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</si>
  <si>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</si>
  <si>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</si>
  <si>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</si>
  <si>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</si>
  <si>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</si>
  <si>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</si>
  <si>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</si>
  <si>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</si>
  <si>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</si>
  <si>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</si>
  <si>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</si>
  <si>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</si>
  <si>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</si>
  <si>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</si>
  <si>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</si>
  <si>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</si>
  <si>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</si>
  <si>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</si>
  <si>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</si>
  <si>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</si>
  <si>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</si>
  <si>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</si>
  <si>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</si>
  <si>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</si>
  <si>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</si>
  <si>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</si>
  <si>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</si>
  <si>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</si>
  <si>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</si>
  <si>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</si>
  <si>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</si>
  <si>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</si>
  <si>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</si>
  <si>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</si>
  <si>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</si>
  <si>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</si>
  <si>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</si>
  <si>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</si>
  <si>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</si>
  <si>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</si>
  <si>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</si>
  <si>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</si>
  <si>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</si>
  <si>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</si>
  <si>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</si>
  <si>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</si>
  <si>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</si>
  <si>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</si>
  <si>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</si>
  <si>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</si>
  <si>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</si>
  <si>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</si>
  <si>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</si>
  <si>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</si>
  <si>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</si>
  <si>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</si>
  <si>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</si>
  <si>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</si>
  <si>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</si>
  <si>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</si>
  <si>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</si>
  <si>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</si>
  <si>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</si>
  <si>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</si>
  <si>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</si>
  <si>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</si>
  <si>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</si>
  <si>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</si>
  <si>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</si>
  <si>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</si>
  <si>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</si>
  <si>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</si>
  <si>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</si>
  <si>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</si>
  <si>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</si>
  <si>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</si>
  <si>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</si>
  <si>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</si>
  <si>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</si>
  <si>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</si>
  <si>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</si>
  <si>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</si>
  <si>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</si>
  <si>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</si>
  <si>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</si>
  <si>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</si>
  <si>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</si>
  <si>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</si>
  <si>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</si>
  <si>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</si>
  <si>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</si>
  <si>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</si>
  <si>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</si>
  <si>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</si>
  <si>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</si>
  <si>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</si>
  <si>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</si>
  <si>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</si>
  <si>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</si>
  <si>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</si>
  <si>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</si>
  <si>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</si>
  <si>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</si>
  <si>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</si>
  <si>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</si>
  <si>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</si>
  <si>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</si>
  <si>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</si>
  <si>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</si>
  <si>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</si>
  <si>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</si>
  <si>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</si>
  <si>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</si>
  <si>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</si>
  <si>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</si>
  <si>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</si>
  <si>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</si>
  <si>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</si>
  <si>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</si>
  <si>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</si>
  <si>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</si>
  <si>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</si>
  <si>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</si>
  <si>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</si>
  <si>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</si>
  <si>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</si>
  <si>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</si>
  <si>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</si>
  <si>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</si>
  <si>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</si>
  <si>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</si>
  <si>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</si>
  <si>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</si>
  <si>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</si>
  <si>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</si>
  <si>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</si>
  <si>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</si>
  <si>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</si>
  <si>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</si>
  <si>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</si>
  <si>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</si>
  <si>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</si>
  <si>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</si>
  <si>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</si>
  <si>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</si>
  <si>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</si>
  <si>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</si>
  <si>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</si>
  <si>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</si>
  <si>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</si>
  <si>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</si>
  <si>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</si>
  <si>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</si>
  <si>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</si>
  <si>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</si>
  <si>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</si>
  <si>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</si>
  <si>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</si>
  <si>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</si>
  <si>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</si>
  <si>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</si>
  <si>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</si>
  <si>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</si>
  <si>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</si>
  <si>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</si>
  <si>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</si>
  <si>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</si>
  <si>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</si>
  <si>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</si>
  <si>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</si>
  <si>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</si>
  <si>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</si>
  <si>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</si>
  <si>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</si>
  <si>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</si>
  <si>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</si>
  <si>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</si>
  <si>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</si>
  <si>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</si>
  <si>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</si>
  <si>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</si>
  <si>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</si>
  <si>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</si>
  <si>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</si>
  <si>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</si>
  <si>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</si>
  <si>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</si>
  <si>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</si>
  <si>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</si>
  <si>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</si>
  <si>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</si>
  <si>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</si>
  <si>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</si>
  <si>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</si>
  <si>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</si>
  <si>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</si>
  <si>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</si>
  <si>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</si>
  <si>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</si>
  <si>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</si>
  <si>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</si>
  <si>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</si>
  <si>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</si>
  <si>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</si>
  <si>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</si>
  <si>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</si>
  <si>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</si>
  <si>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</si>
  <si>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</si>
  <si>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</si>
  <si>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</si>
  <si>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</si>
  <si>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</si>
  <si>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</si>
  <si>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</si>
  <si>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</si>
  <si>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</si>
  <si>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</si>
  <si>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</si>
  <si>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</si>
  <si>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</si>
  <si>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</si>
  <si>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</si>
  <si>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</si>
  <si>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</si>
  <si>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</si>
  <si>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</si>
  <si>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</si>
  <si>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</si>
  <si>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</si>
  <si>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</si>
  <si>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</si>
  <si>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</si>
  <si>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</si>
  <si>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</si>
  <si>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</si>
  <si>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</si>
  <si>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</si>
  <si>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</si>
  <si>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</si>
  <si>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</si>
  <si>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</si>
  <si>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</si>
  <si>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</si>
  <si>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</si>
  <si>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</si>
  <si>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</si>
  <si>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</si>
  <si>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</si>
  <si>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</si>
  <si>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</si>
  <si>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</si>
  <si>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</si>
  <si>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</si>
  <si>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</si>
  <si>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</si>
  <si>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</si>
  <si>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</si>
  <si>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</si>
  <si>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</si>
  <si>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</si>
  <si>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</si>
  <si>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</si>
  <si>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</si>
  <si>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</si>
  <si>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</si>
  <si>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</si>
  <si>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</si>
  <si>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</si>
  <si>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</si>
  <si>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</si>
  <si>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</si>
  <si>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</si>
  <si>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</si>
  <si>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</si>
  <si>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</si>
  <si>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</si>
  <si>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</si>
  <si>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</si>
  <si>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</si>
  <si>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</si>
  <si>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</si>
  <si>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</si>
  <si>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</si>
  <si>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</si>
  <si>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</si>
  <si>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</si>
  <si>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</si>
  <si>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</si>
  <si>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</si>
  <si>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</si>
  <si>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</si>
  <si>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</si>
  <si>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</si>
  <si>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</si>
  <si>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</si>
  <si>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</si>
  <si>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</si>
  <si>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</si>
  <si>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</si>
  <si>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</si>
  <si>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</si>
  <si>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</si>
  <si>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</si>
  <si>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</si>
  <si>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</si>
  <si>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</si>
  <si>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</si>
  <si>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</si>
  <si>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</si>
  <si>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</si>
  <si>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</si>
  <si>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</si>
  <si>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</si>
  <si>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</si>
  <si>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</si>
  <si>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</si>
  <si>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</si>
  <si>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</si>
  <si>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</si>
  <si>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</si>
  <si>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</si>
  <si>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</si>
  <si>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</si>
  <si>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</si>
  <si>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</si>
  <si>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</si>
  <si>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</si>
  <si>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</si>
  <si>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</si>
  <si>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</si>
  <si>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</si>
  <si>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</si>
  <si>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</si>
  <si>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</si>
  <si>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</si>
  <si>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</si>
  <si>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</si>
  <si>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</si>
  <si>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</si>
  <si>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</si>
  <si>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</si>
  <si>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</si>
  <si>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</si>
  <si>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</si>
  <si>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</si>
  <si>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</si>
  <si>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</si>
  <si>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</si>
  <si>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</si>
  <si>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</si>
  <si>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</si>
  <si>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</si>
  <si>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</si>
  <si>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</si>
  <si>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</si>
  <si>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</si>
  <si>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</si>
  <si>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</si>
  <si>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</si>
  <si>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</si>
  <si>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</si>
  <si>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</si>
  <si>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</si>
  <si>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</si>
  <si>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</si>
  <si>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</si>
  <si>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</si>
  <si>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</si>
  <si>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</si>
  <si>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</si>
  <si>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</si>
  <si>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</si>
  <si>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</si>
  <si>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</si>
  <si>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</si>
  <si>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</si>
  <si>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</si>
  <si>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</si>
  <si>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</si>
  <si>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</si>
  <si>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</si>
  <si>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</si>
  <si>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</si>
  <si>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</si>
  <si>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</si>
  <si>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</si>
  <si>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</si>
  <si>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</si>
  <si>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</si>
  <si>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</si>
  <si>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</si>
  <si>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</si>
  <si>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</si>
  <si>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</si>
  <si>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</si>
  <si>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</si>
  <si>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</si>
  <si>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</si>
  <si>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</si>
  <si>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</si>
  <si>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</si>
  <si>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</si>
  <si>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</si>
  <si>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</si>
  <si>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</si>
  <si>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</si>
  <si>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</si>
  <si>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</si>
  <si>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</si>
  <si>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</si>
  <si>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</si>
  <si>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</si>
  <si>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</si>
  <si>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</si>
  <si>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</si>
  <si>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</si>
  <si>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</si>
  <si>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</si>
  <si>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</si>
  <si>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</si>
  <si>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</si>
  <si>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</si>
  <si>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</si>
  <si>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</si>
  <si>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</si>
  <si>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</si>
  <si>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</si>
  <si>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</si>
  <si>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</si>
  <si>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</si>
  <si>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</si>
  <si>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</si>
  <si>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</si>
  <si>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</si>
  <si>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</si>
  <si>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</si>
  <si>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</si>
  <si>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</si>
  <si>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</si>
  <si>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</si>
  <si>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</si>
  <si>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</si>
  <si>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</si>
  <si>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</si>
  <si>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</si>
  <si>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</si>
  <si>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</si>
  <si>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</si>
  <si>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</si>
  <si>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</si>
  <si>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</si>
  <si>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</si>
  <si>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</si>
  <si>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</si>
  <si>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</si>
  <si>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</si>
  <si>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</si>
  <si>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</si>
  <si>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</si>
  <si>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</si>
  <si>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</si>
  <si>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</si>
  <si>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</si>
  <si>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</si>
  <si>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</si>
  <si>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</si>
  <si>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</si>
  <si>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</si>
  <si>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</si>
  <si>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</si>
  <si>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</si>
  <si>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</si>
  <si>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</si>
  <si>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</si>
  <si>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</si>
  <si>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</si>
  <si>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</si>
  <si>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</si>
  <si>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</si>
  <si>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</si>
  <si>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</si>
  <si>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</si>
  <si>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</si>
  <si>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</si>
  <si>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</si>
  <si>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</si>
  <si>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</si>
  <si>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</si>
  <si>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</si>
  <si>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</si>
  <si>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</si>
  <si>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</si>
  <si>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</si>
  <si>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</si>
  <si>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</si>
  <si>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</si>
  <si>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</si>
  <si>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</si>
  <si>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</si>
  <si>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</si>
  <si>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</si>
  <si>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</si>
  <si>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</si>
  <si>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</si>
  <si>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</si>
  <si>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</si>
  <si>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</si>
  <si>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</si>
  <si>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</si>
  <si>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</si>
  <si>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</si>
  <si>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</si>
  <si>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</si>
  <si>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</si>
  <si>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</si>
  <si>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</si>
  <si>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</si>
  <si>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</si>
  <si>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</si>
  <si>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</si>
  <si>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</si>
  <si>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</si>
  <si>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</si>
  <si>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</si>
  <si>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</si>
  <si>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</si>
  <si>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</si>
  <si>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</si>
  <si>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</si>
  <si>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</si>
  <si>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</si>
  <si>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</si>
  <si>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</si>
  <si>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</si>
  <si>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</si>
  <si>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</si>
  <si>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</si>
  <si>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</si>
  <si>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</si>
  <si>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</si>
  <si>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</si>
  <si>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</si>
  <si>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</si>
  <si>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</si>
  <si>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</si>
  <si>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</si>
  <si>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</si>
  <si>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</si>
  <si>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</si>
  <si>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</si>
  <si>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</si>
  <si>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</si>
  <si>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</si>
  <si>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</si>
  <si>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</si>
  <si>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</si>
  <si>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</si>
  <si>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</si>
  <si>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</si>
  <si>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</si>
  <si>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</si>
  <si>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</si>
  <si>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</si>
  <si>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</si>
  <si>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</si>
  <si>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</si>
  <si>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</si>
  <si>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</si>
  <si>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</si>
  <si>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</si>
  <si>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</si>
  <si>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</si>
  <si>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</si>
  <si>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</si>
  <si>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</si>
  <si>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</si>
  <si>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</si>
  <si>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</si>
  <si>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</si>
  <si>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</si>
  <si>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</si>
  <si>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</si>
  <si>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</si>
  <si>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</si>
  <si>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</si>
  <si>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</si>
  <si>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</si>
  <si>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</si>
  <si>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</si>
  <si>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</si>
  <si>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</si>
  <si>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</si>
  <si>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</si>
  <si>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</si>
  <si>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</si>
  <si>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</si>
  <si>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</si>
  <si>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</si>
  <si>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</si>
  <si>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</si>
  <si>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</si>
  <si>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</si>
  <si>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</si>
  <si>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</si>
  <si>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</si>
  <si>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</si>
  <si>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</si>
  <si>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</si>
  <si>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</si>
  <si>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</si>
  <si>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</si>
  <si>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</si>
  <si>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</si>
  <si>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</si>
  <si>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</si>
  <si>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</si>
  <si>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</si>
  <si>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</si>
  <si>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</si>
  <si>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</si>
  <si>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</si>
  <si>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</si>
  <si>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</si>
  <si>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</si>
  <si>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</si>
  <si>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</si>
  <si>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</si>
  <si>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</si>
  <si>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</si>
  <si>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</si>
  <si>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</si>
  <si>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</si>
  <si>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</si>
  <si>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</si>
  <si>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</si>
  <si>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</si>
  <si>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</si>
  <si>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</si>
  <si>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</si>
  <si>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</si>
  <si>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</si>
  <si>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</si>
  <si>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</si>
  <si>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</si>
  <si>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</si>
  <si>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</si>
  <si>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</si>
  <si>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</si>
  <si>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</si>
  <si>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</si>
  <si>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</si>
  <si>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</si>
  <si>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</si>
  <si>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</si>
  <si>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</si>
  <si>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</si>
  <si>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</si>
  <si>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</si>
  <si>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</si>
  <si>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</si>
  <si>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</si>
  <si>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</si>
  <si>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</si>
  <si>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</si>
  <si>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</si>
  <si>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</si>
  <si>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</si>
  <si>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</si>
  <si>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</si>
  <si>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</si>
  <si>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</si>
  <si>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</si>
  <si>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</si>
  <si>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</si>
  <si>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</si>
  <si>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</si>
  <si>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</si>
  <si>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</si>
  <si>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</si>
  <si>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</si>
  <si>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</si>
  <si>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</si>
  <si>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</si>
  <si>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</si>
  <si>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</si>
  <si>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</si>
  <si>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</si>
  <si>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</si>
  <si>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</si>
  <si>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</si>
  <si>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</si>
  <si>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</si>
  <si>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</si>
  <si>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</si>
  <si>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</si>
  <si>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</si>
  <si>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</si>
  <si>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</si>
  <si>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</si>
  <si>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</si>
  <si>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</si>
  <si>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</si>
  <si>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</si>
  <si>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</si>
  <si>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</si>
  <si>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</si>
  <si>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</si>
  <si>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</si>
  <si>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</si>
  <si>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</si>
  <si>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</si>
  <si>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</si>
  <si>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</si>
  <si>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</si>
  <si>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</si>
  <si>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</si>
  <si>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</si>
  <si>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</si>
  <si>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</si>
  <si>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</si>
  <si>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</si>
  <si>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</si>
  <si>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</si>
  <si>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</si>
  <si>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</si>
  <si>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</si>
  <si>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</si>
  <si>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</si>
  <si>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</si>
  <si>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</si>
  <si>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</si>
  <si>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</si>
  <si>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</si>
  <si>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</si>
  <si>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</si>
  <si>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</si>
  <si>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</si>
  <si>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</si>
  <si>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</si>
  <si>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</si>
  <si>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</si>
  <si>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</si>
  <si>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</si>
  <si>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</si>
  <si>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</si>
  <si>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</si>
  <si>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</si>
  <si>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</si>
  <si>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</si>
  <si>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</si>
  <si>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</si>
  <si>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</si>
  <si>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</si>
  <si>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</si>
  <si>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</si>
  <si>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</si>
  <si>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</si>
  <si>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</si>
  <si>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</si>
  <si>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</si>
  <si>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</si>
  <si>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</si>
  <si>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</si>
  <si>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</si>
  <si>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</si>
  <si>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</si>
  <si>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</si>
  <si>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</si>
  <si>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</si>
  <si>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</si>
  <si>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</si>
  <si>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</si>
  <si>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</si>
  <si>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</si>
  <si>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</si>
  <si>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</si>
  <si>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</si>
  <si>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</si>
  <si>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</si>
  <si>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</si>
  <si>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</si>
  <si>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</si>
  <si>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</si>
  <si>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</si>
  <si>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</si>
  <si>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</si>
  <si>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</si>
  <si>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</si>
  <si>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</si>
  <si>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</si>
  <si>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</si>
  <si>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</si>
  <si>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</si>
  <si>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</si>
  <si>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</si>
  <si>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</si>
  <si>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</si>
  <si>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</si>
  <si>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</si>
  <si>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</si>
  <si>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</si>
  <si>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</si>
  <si>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</si>
  <si>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</si>
  <si>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</si>
  <si>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</si>
  <si>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</si>
  <si>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</si>
  <si>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</si>
  <si>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</si>
  <si>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</si>
  <si>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</si>
  <si>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</si>
  <si>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</si>
  <si>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</si>
  <si>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</si>
  <si>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</si>
  <si>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</si>
  <si>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</si>
  <si>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</si>
  <si>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</si>
  <si>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</si>
  <si>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</si>
  <si>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</si>
  <si>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</si>
  <si>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</si>
  <si>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</si>
  <si>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</si>
  <si>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</si>
  <si>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</si>
  <si>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</si>
  <si>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</si>
  <si>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</si>
  <si>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</si>
  <si>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</si>
  <si>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</si>
  <si>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</si>
  <si>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</si>
  <si>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</si>
  <si>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</si>
  <si>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</si>
  <si>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</si>
  <si>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</si>
  <si>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</si>
  <si>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</si>
  <si>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</si>
  <si>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</si>
  <si>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</si>
  <si>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</si>
  <si>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</si>
  <si>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</si>
  <si>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</si>
  <si>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</si>
  <si>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</si>
  <si>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</si>
  <si>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</si>
  <si>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</si>
  <si>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</si>
  <si>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</si>
  <si>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</si>
  <si>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</si>
  <si>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</si>
  <si>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</si>
  <si>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</si>
  <si>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</si>
  <si>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</si>
  <si>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</si>
  <si>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</si>
  <si>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</si>
  <si>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</si>
  <si>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</si>
  <si>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</si>
  <si>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</si>
  <si>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</si>
  <si>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</si>
  <si>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</si>
  <si>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</si>
  <si>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</si>
  <si>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</si>
  <si>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</si>
  <si>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</si>
  <si>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</si>
  <si>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</si>
  <si>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</si>
  <si>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</si>
  <si>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</si>
  <si>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</si>
  <si>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</si>
  <si>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</si>
  <si>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</si>
  <si>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</si>
  <si>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</si>
  <si>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</si>
  <si>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</si>
  <si>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</si>
  <si>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</si>
  <si>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</si>
  <si>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</si>
  <si>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</si>
  <si>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</si>
  <si>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</si>
  <si>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</si>
  <si>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</si>
  <si>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</si>
  <si>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</si>
  <si>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</si>
  <si>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</si>
  <si>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</si>
  <si>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</si>
  <si>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</si>
  <si>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</si>
  <si>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</si>
  <si>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</si>
  <si>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</si>
  <si>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</si>
  <si>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</si>
  <si>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</si>
  <si>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</si>
  <si>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</si>
  <si>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</si>
  <si>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</si>
  <si>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</si>
  <si>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</si>
  <si>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</si>
  <si>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</si>
  <si>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</si>
  <si>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</si>
  <si>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</si>
  <si>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</si>
  <si>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</si>
  <si>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</si>
  <si>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</si>
  <si>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</si>
  <si>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</si>
  <si>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</si>
  <si>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</si>
  <si>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</si>
  <si>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</si>
  <si>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</si>
  <si>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</si>
  <si>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</si>
  <si>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</si>
  <si>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</si>
  <si>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</si>
  <si>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</si>
  <si>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</si>
  <si>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</si>
  <si>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</si>
  <si>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</si>
  <si>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</si>
  <si>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</si>
  <si>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</si>
  <si>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</si>
  <si>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</si>
  <si>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</si>
  <si>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</si>
  <si>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</si>
  <si>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</si>
  <si>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</si>
  <si>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</si>
  <si>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</si>
  <si>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</si>
  <si>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</si>
  <si>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</si>
  <si>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</si>
  <si>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</si>
  <si>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</si>
  <si>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</si>
  <si>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</si>
  <si>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</si>
  <si>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</si>
  <si>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</si>
  <si>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</si>
  <si>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</si>
  <si>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</si>
  <si>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</si>
  <si>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</si>
  <si>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</si>
  <si>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</si>
  <si>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</si>
  <si>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</si>
  <si>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</si>
  <si>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</si>
  <si>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</si>
  <si>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</si>
  <si>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</si>
  <si>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</si>
  <si>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</si>
  <si>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</si>
  <si>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</si>
  <si>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</si>
  <si>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</si>
  <si>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</si>
  <si>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</si>
  <si>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</si>
  <si>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</si>
  <si>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</si>
  <si>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</si>
  <si>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</si>
  <si>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</si>
  <si>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</si>
  <si>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</si>
  <si>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</si>
  <si>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</si>
  <si>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</si>
  <si>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</si>
  <si>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</si>
  <si>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</si>
  <si>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</si>
  <si>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</si>
  <si>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</si>
  <si>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</si>
  <si>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</si>
  <si>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</si>
  <si>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</si>
  <si>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</si>
  <si>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</si>
  <si>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</si>
  <si>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</si>
  <si>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</si>
  <si>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</si>
  <si>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</si>
  <si>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</si>
  <si>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</si>
  <si>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</si>
  <si>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</si>
  <si>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</si>
  <si>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</si>
  <si>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</si>
  <si>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</si>
  <si>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</si>
  <si>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</si>
  <si>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</si>
  <si>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</si>
  <si>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</si>
  <si>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</si>
  <si>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</si>
  <si>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</si>
  <si>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</si>
  <si>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</si>
  <si>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</si>
  <si>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</si>
  <si>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</si>
  <si>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</si>
  <si>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</si>
  <si>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</si>
  <si>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</si>
  <si>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</si>
  <si>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</si>
  <si>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</si>
  <si>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</si>
  <si>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</si>
  <si>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</si>
  <si>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</si>
  <si>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</si>
  <si>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</si>
  <si>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</si>
  <si>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</si>
  <si>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</si>
  <si>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</si>
  <si>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</si>
  <si>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</si>
  <si>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</si>
  <si>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</si>
  <si>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</si>
  <si>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</si>
  <si>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</si>
  <si>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</si>
  <si>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</si>
  <si>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</si>
  <si>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</si>
  <si>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</si>
  <si>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</si>
  <si>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</si>
  <si>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</si>
  <si>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</si>
  <si>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</si>
  <si>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</si>
  <si>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</si>
  <si>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</si>
  <si>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</si>
  <si>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</si>
  <si>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</si>
  <si>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</si>
  <si>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</si>
  <si>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</si>
  <si>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</si>
  <si>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</si>
  <si>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</si>
  <si>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</si>
  <si>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</si>
  <si>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</si>
  <si>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</si>
  <si>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</si>
  <si>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</si>
  <si>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</si>
  <si>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</si>
  <si>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</si>
  <si>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</si>
  <si>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</si>
  <si>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</si>
  <si>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</si>
  <si>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</si>
  <si>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</si>
  <si>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</si>
  <si>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</si>
  <si>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</si>
  <si>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</si>
  <si>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</si>
  <si>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</si>
  <si>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</si>
  <si>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</si>
  <si>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</si>
  <si>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</si>
  <si>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</si>
  <si>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</si>
  <si>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</si>
  <si>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</si>
  <si>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</si>
  <si>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</si>
  <si>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</si>
  <si>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</si>
  <si>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</si>
  <si>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</si>
  <si>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</si>
  <si>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</si>
  <si>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</si>
  <si>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</si>
  <si>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</si>
  <si>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</si>
  <si>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</si>
  <si>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</si>
  <si>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</si>
  <si>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</si>
  <si>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</si>
  <si>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</si>
  <si>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</si>
  <si>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</si>
  <si>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</si>
  <si>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</si>
  <si>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</si>
  <si>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</si>
  <si>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</si>
  <si>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</si>
  <si>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</si>
  <si>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</si>
  <si>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</si>
  <si>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</si>
  <si>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</si>
  <si>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</si>
  <si>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</si>
  <si>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</si>
  <si>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</si>
  <si>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</si>
  <si>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</si>
  <si>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</si>
  <si>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</si>
  <si>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</si>
  <si>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</si>
  <si>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</si>
  <si>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</si>
  <si>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</si>
  <si>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</si>
  <si>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</si>
  <si>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</si>
  <si>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</si>
  <si>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</si>
  <si>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</si>
  <si>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</si>
  <si>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</si>
  <si>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</si>
  <si>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</si>
  <si>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</si>
  <si>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</si>
  <si>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</si>
  <si>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</si>
  <si>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</si>
  <si>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</si>
  <si>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</si>
  <si>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</si>
  <si>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</si>
  <si>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</si>
  <si>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</si>
  <si>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</si>
  <si>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</si>
  <si>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</si>
  <si>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</si>
  <si>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</si>
  <si>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</si>
  <si>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</si>
  <si>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</si>
  <si>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</si>
  <si>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</si>
  <si>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</si>
  <si>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</si>
  <si>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</si>
  <si>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</si>
  <si>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</si>
  <si>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</si>
  <si>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</si>
  <si>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</si>
  <si>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</si>
  <si>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</si>
  <si>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</si>
  <si>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</si>
  <si>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</si>
  <si>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</si>
  <si>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</si>
  <si>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</si>
  <si>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</si>
  <si>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</si>
  <si>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</si>
  <si>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</si>
  <si>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</si>
  <si>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</si>
  <si>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</si>
  <si>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</si>
  <si>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</si>
  <si>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</si>
  <si>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</si>
  <si>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</si>
  <si>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</si>
  <si>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</si>
  <si>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</si>
  <si>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</si>
  <si>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</si>
  <si>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</si>
  <si>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</si>
  <si>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</si>
  <si>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</si>
  <si>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</si>
  <si>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</si>
  <si>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</si>
  <si>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</si>
  <si>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</si>
  <si>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</si>
  <si>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</si>
  <si>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</si>
  <si>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</si>
  <si>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</si>
  <si>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</si>
  <si>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</si>
  <si>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</si>
  <si>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</si>
  <si>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</si>
  <si>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</si>
  <si>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</si>
  <si>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</si>
  <si>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</si>
  <si>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</si>
  <si>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</si>
  <si>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</si>
  <si>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</si>
  <si>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</si>
  <si>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</si>
  <si>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</si>
  <si>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</si>
  <si>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</si>
  <si>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</si>
  <si>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</si>
  <si>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</si>
  <si>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</si>
  <si>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</si>
  <si>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</si>
  <si>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</si>
  <si>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</si>
  <si>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</si>
  <si>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</si>
  <si>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</si>
  <si>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</si>
  <si>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</si>
  <si>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</si>
  <si>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</si>
  <si>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</si>
  <si>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</si>
  <si>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</si>
  <si>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</si>
  <si>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</si>
  <si>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</si>
  <si>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</si>
  <si>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</si>
  <si>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</si>
  <si>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</si>
  <si>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</si>
  <si>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</si>
  <si>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</si>
  <si>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</si>
  <si>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</si>
  <si>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</si>
  <si>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</si>
  <si>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</si>
  <si>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</si>
  <si>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</si>
  <si>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</si>
  <si>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</si>
  <si>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</si>
  <si>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</si>
  <si>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</si>
  <si>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</si>
  <si>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</si>
  <si>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</si>
  <si>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</si>
  <si>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</si>
  <si>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</si>
  <si>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</si>
  <si>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</si>
  <si>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</si>
  <si>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</si>
  <si>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</si>
  <si>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</si>
  <si>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</si>
  <si>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</si>
  <si>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</si>
  <si>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</si>
  <si>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</si>
  <si>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</si>
  <si>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</si>
  <si>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</si>
  <si>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</si>
  <si>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</si>
  <si>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</si>
  <si>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</si>
  <si>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</si>
  <si>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</si>
  <si>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</si>
  <si>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</si>
  <si>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</si>
  <si>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</si>
  <si>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</si>
  <si>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</si>
  <si>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</si>
  <si>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</si>
  <si>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</si>
  <si>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</si>
  <si>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</si>
  <si>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</si>
  <si>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</si>
  <si>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</si>
  <si>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</si>
  <si>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</si>
  <si>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</si>
  <si>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</si>
  <si>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</si>
  <si>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</si>
  <si>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</si>
  <si>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</si>
  <si>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</si>
  <si>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</si>
  <si>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</si>
  <si>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</si>
  <si>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</si>
  <si>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</si>
  <si>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</si>
  <si>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</si>
  <si>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</si>
  <si>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</si>
  <si>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</si>
  <si>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</si>
  <si>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</si>
  <si>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</si>
  <si>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</si>
  <si>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</si>
  <si>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</si>
  <si>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</si>
  <si>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</si>
  <si>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</si>
  <si>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</si>
  <si>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</si>
  <si>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</si>
  <si>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</si>
  <si>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</si>
  <si>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</si>
  <si>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</si>
  <si>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</si>
  <si>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</si>
  <si>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</si>
  <si>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</si>
  <si>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</si>
  <si>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</si>
  <si>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</si>
  <si>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</si>
  <si>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</si>
  <si>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</si>
  <si>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</si>
  <si>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</si>
  <si>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</si>
  <si>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</si>
  <si>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</si>
  <si>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</si>
  <si>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</si>
  <si>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</si>
  <si>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</si>
  <si>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</si>
  <si>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</si>
  <si>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</si>
  <si>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</si>
  <si>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</si>
  <si>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</si>
  <si>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</si>
  <si>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</si>
  <si>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</si>
  <si>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</si>
  <si>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</si>
  <si>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</si>
  <si>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</si>
  <si>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</si>
  <si>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</si>
  <si>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</si>
  <si>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</si>
  <si>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</si>
  <si>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</si>
  <si>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</si>
  <si>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</si>
  <si>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</si>
  <si>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</si>
  <si>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</si>
  <si>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</si>
  <si>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</si>
  <si>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</si>
  <si>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</si>
  <si>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</si>
  <si>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</si>
  <si>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</si>
  <si>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</si>
  <si>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</si>
  <si>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</si>
  <si>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</si>
  <si>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</si>
  <si>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</si>
  <si>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</si>
  <si>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</si>
  <si>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</si>
  <si>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</si>
  <si>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</si>
  <si>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</si>
  <si>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</si>
  <si>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</si>
  <si>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</si>
  <si>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</si>
  <si>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</si>
  <si>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</si>
  <si>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</si>
  <si>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</si>
  <si>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</si>
  <si>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</si>
  <si>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</si>
  <si>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</si>
  <si>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</si>
  <si>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</si>
  <si>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</si>
  <si>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</si>
  <si>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</si>
  <si>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</si>
  <si>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</si>
  <si>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</si>
  <si>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</si>
  <si>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</si>
  <si>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</si>
  <si>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</si>
  <si>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</si>
  <si>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</si>
  <si>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</si>
  <si>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</si>
  <si>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</si>
  <si>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</si>
  <si>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</si>
  <si>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</si>
  <si>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</si>
  <si>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</si>
  <si>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</si>
  <si>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</si>
  <si>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</si>
  <si>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</si>
  <si>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</si>
  <si>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</si>
  <si>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</si>
  <si>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</si>
  <si>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</si>
  <si>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</si>
  <si>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</si>
  <si>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</si>
  <si>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</si>
  <si>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</si>
  <si>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</si>
  <si>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</si>
  <si>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</si>
  <si>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</si>
  <si>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</si>
  <si>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</si>
  <si>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</si>
  <si>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</si>
  <si>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</si>
  <si>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</si>
  <si>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</si>
  <si>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</si>
  <si>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</si>
  <si>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</si>
  <si>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</si>
  <si>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</si>
  <si>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</si>
  <si>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</si>
  <si>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</si>
  <si>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</si>
  <si>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</si>
  <si>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</si>
  <si>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</si>
  <si>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</si>
  <si>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</si>
  <si>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</si>
  <si>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</si>
  <si>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</si>
  <si>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</si>
  <si>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</si>
  <si>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</si>
  <si>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</si>
  <si>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</si>
  <si>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</si>
  <si>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</si>
  <si>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</si>
  <si>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</si>
  <si>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</si>
  <si>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</si>
  <si>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</si>
  <si>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</si>
  <si>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</si>
  <si>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</si>
  <si>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</si>
  <si>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</si>
  <si>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</si>
  <si>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</si>
  <si>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</si>
  <si>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</si>
  <si>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</si>
  <si>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</si>
  <si>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</si>
  <si>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</si>
  <si>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</si>
  <si>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</si>
  <si>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</si>
  <si>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</si>
  <si>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</si>
  <si>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</si>
  <si>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</si>
  <si>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</si>
  <si>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</si>
  <si>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</si>
  <si>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</si>
  <si>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</si>
  <si>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</si>
  <si>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</si>
  <si>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</si>
  <si>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</si>
  <si>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</si>
  <si>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</si>
  <si>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</si>
  <si>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</si>
  <si>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</si>
  <si>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</si>
  <si>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</si>
  <si>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</si>
  <si>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</si>
  <si>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</si>
  <si>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</si>
  <si>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</si>
  <si>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</si>
  <si>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</si>
  <si>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</si>
  <si>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</si>
  <si>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</si>
  <si>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</si>
  <si>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</si>
  <si>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</si>
  <si>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</si>
  <si>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</si>
  <si>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</si>
  <si>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</si>
  <si>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</si>
  <si>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</si>
  <si>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</si>
  <si>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</si>
  <si>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</si>
  <si>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</si>
  <si>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</si>
  <si>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</si>
  <si>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</si>
  <si>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</si>
  <si>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</si>
  <si>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</si>
  <si>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</si>
  <si>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</si>
  <si>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</si>
  <si>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</si>
  <si>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</si>
  <si>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</si>
  <si>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</si>
  <si>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</si>
  <si>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</si>
  <si>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</si>
  <si>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</si>
  <si>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</si>
  <si>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</si>
  <si>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</si>
  <si>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</si>
  <si>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</si>
  <si>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</si>
  <si>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</si>
  <si>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</si>
  <si>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</si>
  <si>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</si>
  <si>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</si>
  <si>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</si>
  <si>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</si>
  <si>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</si>
  <si>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</si>
  <si>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</si>
  <si>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</si>
  <si>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</si>
  <si>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</si>
  <si>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</si>
  <si>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</si>
  <si>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</si>
  <si>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</si>
  <si>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</si>
  <si>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</si>
  <si>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</si>
  <si>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</si>
  <si>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</si>
  <si>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</si>
  <si>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</si>
  <si>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</si>
  <si>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</si>
  <si>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</si>
  <si>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</si>
  <si>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</si>
  <si>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</si>
  <si>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</si>
  <si>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</si>
  <si>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</si>
  <si>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</si>
  <si>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</si>
  <si>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</si>
  <si>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</si>
  <si>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</si>
  <si>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</si>
  <si>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</si>
  <si>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</si>
  <si>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</si>
  <si>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</si>
  <si>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</si>
  <si>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</si>
  <si>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</si>
  <si>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</si>
  <si>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</si>
  <si>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</si>
  <si>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</si>
  <si>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</si>
  <si>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</si>
  <si>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</si>
  <si>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</si>
  <si>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</si>
  <si>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</si>
  <si>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</si>
  <si>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</si>
  <si>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</si>
  <si>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</si>
  <si>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</si>
  <si>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</si>
  <si>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</si>
  <si>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</si>
  <si>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</si>
  <si>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</si>
  <si>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</si>
  <si>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</si>
  <si>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</si>
  <si>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</si>
  <si>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</si>
  <si>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</si>
  <si>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</si>
  <si>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</si>
  <si>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</si>
  <si>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</si>
  <si>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</si>
  <si>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</si>
  <si>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</si>
  <si>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</si>
  <si>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</si>
  <si>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</si>
  <si>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</si>
  <si>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</si>
  <si>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</si>
  <si>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</si>
  <si>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</si>
  <si>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</si>
  <si>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</si>
  <si>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</si>
  <si>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</si>
  <si>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</si>
  <si>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</si>
  <si>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</si>
  <si>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</si>
  <si>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</si>
  <si>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</si>
  <si>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</si>
  <si>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</si>
  <si>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</si>
  <si>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</si>
  <si>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</si>
  <si>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</si>
  <si>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</si>
  <si>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</si>
  <si>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</si>
  <si>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</si>
  <si>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</si>
  <si>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</si>
  <si>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</si>
  <si>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</si>
  <si>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</si>
  <si>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</si>
  <si>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</si>
  <si>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</si>
  <si>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</si>
  <si>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</si>
  <si>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</si>
  <si>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</si>
  <si>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</si>
  <si>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</si>
  <si>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</si>
  <si>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</si>
  <si>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</si>
  <si>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</si>
  <si>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</si>
  <si>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</si>
  <si>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</si>
  <si>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</si>
  <si>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</si>
  <si>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</si>
  <si>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</si>
  <si>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</si>
  <si>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</si>
  <si>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</si>
  <si>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</si>
  <si>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</si>
  <si>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</si>
  <si>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</si>
  <si>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</si>
  <si>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</si>
  <si>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</si>
  <si>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</si>
  <si>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</si>
  <si>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</si>
  <si>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</si>
  <si>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</si>
  <si>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</si>
  <si>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</si>
  <si>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</si>
  <si>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</si>
  <si>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</si>
  <si>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</si>
  <si>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</si>
  <si>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</si>
  <si>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</si>
  <si>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</si>
  <si>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</si>
  <si>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</si>
  <si>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</si>
  <si>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</si>
  <si>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</si>
  <si>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</si>
  <si>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</si>
  <si>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</si>
  <si>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</si>
  <si>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</si>
  <si>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</si>
  <si>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</si>
  <si>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</si>
  <si>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</si>
  <si>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</si>
  <si>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</si>
  <si>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</si>
  <si>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</si>
  <si>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</si>
  <si>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</si>
  <si>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</si>
  <si>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</si>
  <si>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</si>
  <si>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</si>
  <si>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</si>
  <si>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</si>
  <si>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</si>
  <si>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</si>
  <si>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</si>
  <si>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</si>
  <si>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</si>
  <si>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</si>
  <si>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</si>
  <si>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</si>
  <si>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</si>
  <si>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</si>
  <si>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</si>
  <si>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</si>
  <si>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</si>
  <si>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</si>
  <si>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</si>
  <si>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</si>
  <si>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</si>
  <si>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</si>
  <si>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</si>
  <si>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</si>
  <si>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</si>
  <si>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</si>
  <si>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</si>
  <si>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</si>
  <si>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</si>
  <si>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</si>
  <si>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</si>
  <si>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</si>
  <si>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</si>
  <si>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</si>
  <si>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</si>
  <si>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</si>
  <si>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</si>
  <si>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</si>
  <si>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</si>
  <si>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</si>
  <si>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</si>
  <si>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</si>
  <si>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</si>
  <si>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</si>
  <si>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</si>
  <si>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</si>
  <si>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</si>
  <si>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</si>
  <si>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</si>
  <si>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</si>
  <si>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</si>
  <si>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</si>
  <si>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</si>
  <si>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</si>
  <si>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</si>
  <si>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</si>
  <si>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</si>
  <si>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</si>
  <si>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</si>
  <si>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</si>
  <si>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</si>
  <si>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</si>
  <si>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</si>
  <si>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</si>
  <si>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</si>
  <si>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</si>
  <si>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</si>
  <si>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</si>
  <si>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</si>
  <si>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</si>
  <si>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</si>
  <si>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</si>
  <si>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</si>
  <si>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</si>
  <si>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</si>
  <si>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</si>
  <si>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</si>
  <si>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</si>
  <si>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</si>
  <si>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</si>
  <si>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</si>
  <si>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</si>
  <si>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</si>
  <si>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</si>
  <si>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</si>
  <si>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</si>
  <si>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</si>
  <si>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</si>
  <si>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</si>
  <si>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</si>
  <si>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</si>
  <si>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</si>
  <si>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</si>
  <si>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</si>
  <si>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</si>
  <si>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</si>
  <si>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</si>
  <si>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</si>
  <si>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</si>
  <si>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</si>
  <si>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</si>
  <si>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</si>
  <si>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</si>
  <si>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</si>
  <si>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</si>
  <si>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</si>
  <si>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</si>
  <si>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</si>
  <si>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</si>
  <si>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</si>
  <si>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</si>
  <si>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</si>
  <si>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</si>
  <si>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</si>
  <si>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</si>
  <si>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</si>
  <si>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</si>
  <si>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</si>
  <si>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</si>
  <si>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</si>
  <si>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</si>
  <si>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</si>
  <si>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</si>
  <si>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</si>
  <si>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</si>
  <si>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</si>
  <si>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</si>
  <si>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</si>
  <si>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</si>
  <si>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</si>
  <si>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</si>
  <si>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</si>
  <si>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</si>
  <si>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</si>
  <si>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</si>
  <si>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</si>
  <si>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</si>
  <si>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</si>
  <si>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</si>
  <si>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</si>
  <si>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</si>
  <si>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</si>
  <si>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</si>
  <si>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</si>
  <si>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</si>
  <si>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</si>
  <si>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</si>
  <si>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</si>
  <si>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</si>
  <si>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</si>
  <si>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</si>
  <si>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</si>
  <si>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</si>
  <si>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</si>
  <si>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</si>
  <si>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</si>
  <si>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</si>
  <si>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</si>
  <si>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</si>
  <si>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</si>
  <si>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</si>
  <si>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</si>
  <si>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</si>
  <si>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</si>
  <si>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</si>
  <si>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</si>
  <si>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</si>
  <si>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</si>
  <si>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</si>
  <si>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</si>
  <si>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</si>
  <si>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</si>
  <si>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</si>
  <si>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</si>
  <si>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</si>
  <si>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</si>
  <si>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</si>
  <si>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</si>
  <si>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</si>
  <si>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</si>
  <si>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</si>
  <si>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</si>
  <si>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</si>
  <si>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</si>
  <si>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</si>
  <si>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</si>
  <si>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</si>
  <si>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</si>
  <si>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</si>
  <si>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</si>
  <si>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</si>
  <si>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</si>
  <si>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</si>
  <si>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</si>
  <si>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</si>
  <si>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</si>
  <si>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</si>
  <si>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</si>
  <si>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</si>
  <si>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</si>
  <si>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</si>
  <si>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</si>
  <si>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</si>
  <si>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</si>
  <si>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</si>
  <si>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</si>
  <si>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</si>
  <si>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</si>
  <si>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</si>
  <si>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</si>
  <si>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</si>
  <si>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</si>
  <si>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</si>
  <si>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</si>
  <si>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</si>
  <si>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</si>
  <si>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</si>
  <si>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</si>
  <si>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</si>
  <si>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</si>
  <si>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</si>
  <si>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</si>
  <si>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</si>
  <si>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</si>
  <si>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</si>
  <si>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</si>
  <si>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</si>
  <si>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</si>
  <si>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</si>
  <si>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</si>
  <si>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</si>
  <si>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</si>
  <si>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</si>
  <si>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</si>
  <si>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</si>
  <si>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</si>
  <si>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</si>
  <si>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</si>
  <si>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</si>
  <si>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</si>
  <si>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</si>
  <si>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</si>
  <si>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</si>
  <si>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</si>
  <si>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</si>
  <si>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</si>
  <si>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</si>
  <si>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</si>
  <si>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</si>
  <si>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</si>
  <si>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</si>
  <si>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</si>
  <si>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</si>
  <si>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</si>
  <si>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</si>
  <si>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</si>
  <si>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</si>
  <si>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</si>
  <si>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</si>
  <si>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</si>
  <si>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</si>
  <si>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</si>
  <si>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</si>
  <si>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</si>
  <si>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</si>
  <si>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</si>
  <si>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</si>
  <si>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</si>
  <si>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</si>
  <si>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</si>
  <si>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</si>
  <si>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</si>
  <si>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</si>
  <si>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</si>
  <si>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</si>
  <si>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</si>
  <si>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</si>
  <si>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</si>
  <si>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</si>
  <si>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</si>
  <si>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</si>
  <si>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</si>
  <si>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</si>
  <si>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</si>
  <si>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</si>
  <si>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</si>
  <si>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</si>
  <si>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</si>
  <si>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</si>
  <si>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</si>
  <si>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</si>
  <si>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</si>
  <si>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</si>
  <si>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</si>
  <si>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</si>
  <si>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</si>
  <si>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</si>
  <si>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</si>
  <si>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</si>
  <si>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</si>
  <si>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</si>
  <si>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</si>
  <si>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</si>
  <si>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</si>
  <si>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</si>
  <si>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</si>
  <si>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</si>
  <si>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</si>
  <si>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</si>
  <si>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</si>
  <si>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</si>
  <si>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</si>
  <si>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</si>
  <si>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</si>
  <si>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</si>
  <si>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</si>
  <si>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</si>
  <si>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</si>
  <si>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</si>
  <si>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</si>
  <si>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</si>
  <si>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</si>
  <si>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</si>
  <si>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</si>
  <si>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</si>
  <si>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</si>
  <si>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</si>
  <si>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</si>
  <si>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</si>
  <si>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</si>
  <si>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</si>
  <si>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</si>
  <si>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</si>
  <si>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</si>
  <si>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</si>
  <si>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</si>
  <si>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</si>
  <si>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</si>
  <si>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</si>
  <si>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</si>
  <si>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</si>
  <si>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</si>
  <si>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</si>
  <si>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</si>
  <si>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</si>
  <si>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</si>
  <si>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</si>
  <si>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</si>
  <si>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</si>
  <si>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</si>
  <si>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</si>
  <si>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</si>
  <si>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</si>
  <si>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</si>
  <si>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</si>
  <si>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</si>
  <si>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</si>
  <si>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</si>
  <si>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</si>
  <si>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</si>
  <si>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</si>
  <si>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</si>
  <si>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</si>
  <si>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</si>
  <si>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</si>
  <si>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</si>
  <si>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</si>
  <si>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</si>
  <si>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</si>
  <si>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</si>
  <si>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</si>
  <si>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</si>
  <si>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</si>
  <si>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</si>
  <si>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</si>
  <si>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</si>
  <si>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</si>
  <si>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</si>
  <si>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</si>
  <si>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</si>
  <si>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</si>
  <si>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</si>
  <si>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</si>
  <si>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</si>
  <si>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</si>
  <si>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</si>
  <si>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</si>
  <si>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</si>
  <si>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</si>
  <si>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</si>
  <si>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</si>
  <si>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</si>
  <si>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</si>
  <si>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</si>
  <si>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</si>
  <si>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</si>
  <si>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</si>
  <si>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</si>
  <si>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</si>
  <si>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</si>
  <si>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</si>
  <si>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</si>
  <si>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</si>
  <si>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</si>
  <si>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</si>
  <si>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</si>
  <si>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</si>
  <si>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</si>
  <si>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</si>
  <si>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</si>
  <si>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</si>
  <si>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</si>
  <si>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</si>
  <si>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</si>
  <si>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</si>
  <si>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</si>
  <si>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</si>
  <si>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</si>
  <si>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</si>
  <si>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</si>
  <si>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</si>
  <si>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</si>
  <si>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</si>
  <si>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</si>
  <si>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</si>
  <si>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</si>
  <si>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</si>
  <si>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</si>
  <si>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</si>
  <si>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</si>
  <si>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</si>
  <si>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</si>
  <si>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</si>
  <si>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</si>
  <si>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</si>
  <si>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</si>
  <si>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</si>
  <si>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</si>
  <si>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</si>
  <si>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</si>
  <si>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</si>
  <si>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</si>
  <si>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</si>
  <si>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</si>
  <si>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</si>
  <si>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</si>
  <si>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</si>
  <si>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</si>
  <si>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</si>
  <si>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</si>
  <si>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</si>
  <si>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</si>
  <si>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</si>
  <si>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</si>
  <si>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</si>
  <si>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</si>
  <si>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</si>
  <si>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</si>
  <si>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</si>
  <si>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</si>
  <si>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</si>
  <si>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</si>
  <si>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</si>
  <si>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</si>
  <si>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</si>
  <si>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</si>
  <si>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</si>
  <si>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</si>
  <si>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</si>
  <si>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</si>
  <si>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</si>
  <si>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</si>
  <si>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</si>
  <si>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</si>
  <si>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</si>
  <si>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</si>
  <si>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</si>
  <si>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</si>
  <si>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</si>
  <si>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</si>
  <si>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</si>
  <si>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</si>
  <si>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</si>
  <si>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</si>
  <si>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</si>
  <si>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</si>
  <si>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</si>
  <si>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</si>
  <si>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</si>
  <si>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</si>
  <si>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</si>
  <si>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</si>
  <si>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</si>
  <si>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</si>
  <si>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</si>
  <si>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</si>
  <si>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</si>
  <si>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</si>
  <si>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</si>
  <si>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</si>
  <si>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</si>
  <si>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</si>
  <si>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PLANEACION DE SAN MIGUEL DE ALLENDE, GTO.</t>
  </si>
  <si>
    <t>Al 31 de diciembre de 2019 y al 31 de diciembre de 2020 (b)</t>
  </si>
  <si>
    <t>Del 1 de enero al 31 de diciembre de 2020 (b)</t>
  </si>
  <si>
    <t>NO ES FACULTAD DE ESTE ENTE CONTRAER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</si>
</sst>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view="pageBreakPreview" zoomScale="60" zoomScaleNormal="10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935" yWindow="282"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view="pageBreakPreview" topLeftCell="A49" zoomScale="60" zoomScaleNormal="7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2020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4391967.93</v>
      </c>
      <c r="C8" s="40">
        <f t="shared" ref="C8:D8" si="0">SUM(C9:C11)</f>
        <v>4359600.75</v>
      </c>
      <c r="D8" s="40">
        <f t="shared" si="0"/>
        <v>4359600.75</v>
      </c>
    </row>
    <row r="9" spans="1:11" x14ac:dyDescent="0.25">
      <c r="A9" s="53" t="s">
        <v>169</v>
      </c>
      <c r="B9" s="23">
        <v>4391967.93</v>
      </c>
      <c r="C9" s="23">
        <v>4359600.75</v>
      </c>
      <c r="D9" s="23">
        <v>4359600.75</v>
      </c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5650105.1299999999</v>
      </c>
      <c r="C13" s="40">
        <f t="shared" ref="C13:D13" si="2">C14+C15</f>
        <v>3766152.68</v>
      </c>
      <c r="D13" s="40">
        <f t="shared" si="2"/>
        <v>3766152.68</v>
      </c>
    </row>
    <row r="14" spans="1:11" x14ac:dyDescent="0.25">
      <c r="A14" s="53" t="s">
        <v>172</v>
      </c>
      <c r="B14" s="23">
        <v>5650105.1299999999</v>
      </c>
      <c r="C14" s="23">
        <v>3766152.68</v>
      </c>
      <c r="D14" s="23">
        <v>3766152.68</v>
      </c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-1258137.2000000002</v>
      </c>
      <c r="C21" s="40">
        <f t="shared" ref="C21:D21" si="4">C8-C13+C17</f>
        <v>593448.06999999983</v>
      </c>
      <c r="D21" s="40">
        <f t="shared" si="4"/>
        <v>593448.06999999983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-1258137.2000000002</v>
      </c>
      <c r="C23" s="40">
        <f t="shared" ref="C23:D23" si="5">C21-C11</f>
        <v>593448.06999999983</v>
      </c>
      <c r="D23" s="40">
        <f t="shared" si="5"/>
        <v>593448.06999999983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-1258137.2000000002</v>
      </c>
      <c r="C25" s="40">
        <f t="shared" ref="C25" si="6">C23-C17</f>
        <v>593448.06999999983</v>
      </c>
      <c r="D25" s="40">
        <f>D23-D17</f>
        <v>593448.06999999983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-1258137.2000000002</v>
      </c>
      <c r="C33" s="61">
        <f t="shared" ref="C33:D33" si="8">C25+C29</f>
        <v>593448.06999999983</v>
      </c>
      <c r="D33" s="61">
        <f t="shared" si="8"/>
        <v>593448.06999999983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4391967.93</v>
      </c>
      <c r="C48" s="124">
        <f>C9</f>
        <v>4359600.75</v>
      </c>
      <c r="D48" s="124">
        <f t="shared" ref="D48" si="12">D9</f>
        <v>4359600.75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5650105.1299999999</v>
      </c>
      <c r="C53" s="60">
        <f t="shared" ref="C53:D53" si="14">C14</f>
        <v>3766152.68</v>
      </c>
      <c r="D53" s="60">
        <f t="shared" si="14"/>
        <v>3766152.68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-1258137.2000000002</v>
      </c>
      <c r="C57" s="61">
        <f>C48+C49-C53+C55</f>
        <v>593448.06999999983</v>
      </c>
      <c r="D57" s="61">
        <f t="shared" ref="D57" si="16">D48+D49-D53+D55</f>
        <v>593448.06999999983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-1258137.2000000002</v>
      </c>
      <c r="C59" s="61">
        <f t="shared" ref="C59:D59" si="17">C57-C49</f>
        <v>593448.06999999983</v>
      </c>
      <c r="D59" s="61">
        <f t="shared" si="17"/>
        <v>593448.06999999983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4391967.93</v>
      </c>
      <c r="Q2" s="18">
        <f>'Formato 4'!C8</f>
        <v>4359600.75</v>
      </c>
      <c r="R2" s="18">
        <f>'Formato 4'!D8</f>
        <v>4359600.75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4391967.93</v>
      </c>
      <c r="Q3" s="18">
        <f>'Formato 4'!C9</f>
        <v>4359600.75</v>
      </c>
      <c r="R3" s="18">
        <f>'Formato 4'!D9</f>
        <v>4359600.75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5650105.1299999999</v>
      </c>
      <c r="Q6" s="18">
        <f>'Formato 4'!C13</f>
        <v>3766152.68</v>
      </c>
      <c r="R6" s="18">
        <f>'Formato 4'!D13</f>
        <v>3766152.68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5650105.1299999999</v>
      </c>
      <c r="Q7" s="18">
        <f>'Formato 4'!C14</f>
        <v>3766152.68</v>
      </c>
      <c r="R7" s="18">
        <f>'Formato 4'!D14</f>
        <v>3766152.68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-1258137.2000000002</v>
      </c>
      <c r="Q12" s="18">
        <f>'Formato 4'!C21</f>
        <v>593448.06999999983</v>
      </c>
      <c r="R12" s="18">
        <f>'Formato 4'!D21</f>
        <v>593448.06999999983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-1258137.2000000002</v>
      </c>
      <c r="Q13" s="18">
        <f>'Formato 4'!C23</f>
        <v>593448.06999999983</v>
      </c>
      <c r="R13" s="18">
        <f>'Formato 4'!D23</f>
        <v>593448.06999999983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-1258137.2000000002</v>
      </c>
      <c r="Q14" s="18">
        <f>'Formato 4'!C25</f>
        <v>593448.06999999983</v>
      </c>
      <c r="R14" s="18">
        <f>'Formato 4'!D25</f>
        <v>593448.06999999983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-1258137.2000000002</v>
      </c>
      <c r="Q18">
        <f>'Formato 4'!C33</f>
        <v>593448.06999999983</v>
      </c>
      <c r="R18">
        <f>'Formato 4'!D33</f>
        <v>593448.06999999983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4391967.93</v>
      </c>
      <c r="Q26">
        <f>'Formato 4'!C48</f>
        <v>4359600.75</v>
      </c>
      <c r="R26">
        <f>'Formato 4'!D48</f>
        <v>4359600.75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5650105.1299999999</v>
      </c>
      <c r="Q30">
        <f>'Formato 4'!C53</f>
        <v>3766152.68</v>
      </c>
      <c r="R30">
        <f>'Formato 4'!D53</f>
        <v>3766152.68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view="pageBreakPreview" topLeftCell="A49" zoomScale="60" zoomScaleNormal="80" workbookViewId="0">
      <selection activeCell="B73" sqref="B7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ht="14.25" x14ac:dyDescent="0.45">
      <c r="A15" s="53" t="s">
        <v>222</v>
      </c>
      <c r="B15" s="60">
        <v>18000</v>
      </c>
      <c r="C15" s="60">
        <v>50000</v>
      </c>
      <c r="D15" s="60">
        <v>68000</v>
      </c>
      <c r="E15" s="60">
        <v>52477.18</v>
      </c>
      <c r="F15" s="60">
        <v>52477.18</v>
      </c>
      <c r="G15" s="60">
        <f t="shared" si="0"/>
        <v>34477.18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3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x14ac:dyDescent="0.25">
      <c r="A34" s="53" t="s">
        <v>240</v>
      </c>
      <c r="B34" s="60">
        <v>4373967.93</v>
      </c>
      <c r="C34" s="60">
        <v>-66844.36</v>
      </c>
      <c r="D34" s="60">
        <v>4307123.5699999994</v>
      </c>
      <c r="E34" s="60">
        <v>4307123.57</v>
      </c>
      <c r="F34" s="60">
        <v>4307123.57</v>
      </c>
      <c r="G34" s="60">
        <v>-66844.359999999404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4391967.93</v>
      </c>
      <c r="C41" s="61">
        <f t="shared" ref="C41:E41" si="6">SUM(C9,C10,C11,C12,C13,C14,C15,C16,C28,C34,C35,C37)</f>
        <v>-16844.36</v>
      </c>
      <c r="D41" s="61">
        <f t="shared" si="6"/>
        <v>4375123.5699999994</v>
      </c>
      <c r="E41" s="61">
        <f t="shared" si="6"/>
        <v>4359600.75</v>
      </c>
      <c r="F41" s="61">
        <f>SUM(F9,F10,F11,F12,F13,F14,F15,F16,F28,F34,F35,F37)</f>
        <v>4359600.75</v>
      </c>
      <c r="G41" s="61">
        <f>SUM(G9,G10,G11,G12,G13,G14,G15,G16,G28,G34,G35,G37)</f>
        <v>-32367.179999999404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1258137.2</v>
      </c>
      <c r="C67" s="61">
        <f t="shared" ref="C67:G67" si="13">C68</f>
        <v>0</v>
      </c>
      <c r="D67" s="61">
        <f t="shared" si="13"/>
        <v>1258137.2</v>
      </c>
      <c r="E67" s="61">
        <f t="shared" si="13"/>
        <v>1433258.86</v>
      </c>
      <c r="F67" s="61">
        <f t="shared" si="13"/>
        <v>1433258.86</v>
      </c>
      <c r="G67" s="61">
        <f t="shared" si="13"/>
        <v>175121.66000000015</v>
      </c>
    </row>
    <row r="68" spans="1:7" x14ac:dyDescent="0.25">
      <c r="A68" s="53" t="s">
        <v>269</v>
      </c>
      <c r="B68" s="60">
        <v>1258137.2</v>
      </c>
      <c r="C68" s="60">
        <v>0</v>
      </c>
      <c r="D68" s="60">
        <v>1258137.2</v>
      </c>
      <c r="E68" s="60">
        <v>1433258.86</v>
      </c>
      <c r="F68" s="60">
        <v>1433258.86</v>
      </c>
      <c r="G68" s="60">
        <f>F68-B68</f>
        <v>175121.66000000015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5650105.1299999999</v>
      </c>
      <c r="C70" s="61">
        <f t="shared" ref="C70:G70" si="14">C41+C65+C67</f>
        <v>-16844.36</v>
      </c>
      <c r="D70" s="61">
        <f t="shared" si="14"/>
        <v>5633260.7699999996</v>
      </c>
      <c r="E70" s="61">
        <f t="shared" si="14"/>
        <v>5792859.6100000003</v>
      </c>
      <c r="F70" s="61">
        <f t="shared" si="14"/>
        <v>5792859.6100000003</v>
      </c>
      <c r="G70" s="61">
        <f t="shared" si="14"/>
        <v>142754.48000000074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174349.42</v>
      </c>
      <c r="C73" s="60">
        <v>0</v>
      </c>
      <c r="D73" s="60">
        <v>174349.42</v>
      </c>
      <c r="E73" s="60">
        <v>147233.85</v>
      </c>
      <c r="F73" s="60">
        <v>147233.85</v>
      </c>
      <c r="G73" s="60">
        <f>F73-B73</f>
        <v>-27115.570000000007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174349.42</v>
      </c>
      <c r="C75" s="61">
        <f t="shared" ref="C75:G75" si="15">C73+C74</f>
        <v>0</v>
      </c>
      <c r="D75" s="61">
        <f t="shared" si="15"/>
        <v>174349.42</v>
      </c>
      <c r="E75" s="61">
        <f t="shared" si="15"/>
        <v>147233.85</v>
      </c>
      <c r="F75" s="61">
        <f t="shared" si="15"/>
        <v>147233.85</v>
      </c>
      <c r="G75" s="61">
        <f t="shared" si="15"/>
        <v>-27115.570000000007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18000</v>
      </c>
      <c r="Q9" s="18">
        <f>'Formato 5'!C15</f>
        <v>50000</v>
      </c>
      <c r="R9" s="18">
        <f>'Formato 5'!D15</f>
        <v>68000</v>
      </c>
      <c r="S9" s="18">
        <f>'Formato 5'!E15</f>
        <v>52477.18</v>
      </c>
      <c r="T9" s="18">
        <f>'Formato 5'!F15</f>
        <v>52477.18</v>
      </c>
      <c r="U9" s="18">
        <f>'Formato 5'!G15</f>
        <v>34477.18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4373967.93</v>
      </c>
      <c r="Q28" s="18">
        <f>'Formato 5'!C34</f>
        <v>-66844.36</v>
      </c>
      <c r="R28" s="18">
        <f>'Formato 5'!D34</f>
        <v>4307123.5699999994</v>
      </c>
      <c r="S28" s="18">
        <f>'Formato 5'!E34</f>
        <v>4307123.57</v>
      </c>
      <c r="T28" s="18">
        <f>'Formato 5'!F34</f>
        <v>4307123.57</v>
      </c>
      <c r="U28" s="18">
        <f>'Formato 5'!G34</f>
        <v>-66844.359999999404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4391967.93</v>
      </c>
      <c r="Q34">
        <f>'Formato 5'!C41</f>
        <v>-16844.36</v>
      </c>
      <c r="R34">
        <f>'Formato 5'!D41</f>
        <v>4375123.5699999994</v>
      </c>
      <c r="S34">
        <f>'Formato 5'!E41</f>
        <v>4359600.75</v>
      </c>
      <c r="T34">
        <f>'Formato 5'!F41</f>
        <v>4359600.75</v>
      </c>
      <c r="U34">
        <f>'Formato 5'!G41</f>
        <v>-32367.179999999404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1258137.2</v>
      </c>
      <c r="Q57">
        <f>'Formato 5'!C67</f>
        <v>0</v>
      </c>
      <c r="R57">
        <f>'Formato 5'!D67</f>
        <v>1258137.2</v>
      </c>
      <c r="S57">
        <f>'Formato 5'!E67</f>
        <v>1433258.86</v>
      </c>
      <c r="T57">
        <f>'Formato 5'!F67</f>
        <v>1433258.86</v>
      </c>
      <c r="U57">
        <f>'Formato 5'!G67</f>
        <v>175121.66000000015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1258137.2</v>
      </c>
      <c r="Q58">
        <f>'Formato 5'!C68</f>
        <v>0</v>
      </c>
      <c r="R58">
        <f>'Formato 5'!D68</f>
        <v>1258137.2</v>
      </c>
      <c r="S58">
        <f>'Formato 5'!E68</f>
        <v>1433258.86</v>
      </c>
      <c r="T58">
        <f>'Formato 5'!F68</f>
        <v>1433258.86</v>
      </c>
      <c r="U58">
        <f>'Formato 5'!G68</f>
        <v>175121.66000000015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174349.42</v>
      </c>
      <c r="Q60">
        <f>'Formato 5'!C73</f>
        <v>0</v>
      </c>
      <c r="R60">
        <f>'Formato 5'!D73</f>
        <v>174349.42</v>
      </c>
      <c r="S60">
        <f>'Formato 5'!E73</f>
        <v>147233.85</v>
      </c>
      <c r="T60">
        <f>'Formato 5'!F73</f>
        <v>147233.85</v>
      </c>
      <c r="U60">
        <f>'Formato 5'!G73</f>
        <v>-27115.570000000007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174349.42</v>
      </c>
      <c r="Q62">
        <f>'Formato 5'!C75</f>
        <v>0</v>
      </c>
      <c r="R62">
        <f>'Formato 5'!D75</f>
        <v>174349.42</v>
      </c>
      <c r="S62">
        <f>'Formato 5'!E75</f>
        <v>147233.85</v>
      </c>
      <c r="T62">
        <f>'Formato 5'!F75</f>
        <v>147233.85</v>
      </c>
      <c r="U62">
        <f>'Formato 5'!G75</f>
        <v>-27115.570000000007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view="pageBreakPreview" topLeftCell="A100" zoomScale="60" zoomScaleNormal="80" zoomScalePageLayoutView="90" workbookViewId="0">
      <selection activeCell="B55" sqref="B5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PLANEACION DE SAN MIGUEL DE ALLENDE,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2020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5650105.1299999999</v>
      </c>
      <c r="C9" s="79">
        <f t="shared" ref="C9:G9" si="0">SUM(C10,C18,C28,C38,C48,C58,C62,C71,C75)</f>
        <v>-16844.359999999986</v>
      </c>
      <c r="D9" s="79">
        <f t="shared" si="0"/>
        <v>5633260.7700000005</v>
      </c>
      <c r="E9" s="79">
        <f t="shared" si="0"/>
        <v>3766152.6799999997</v>
      </c>
      <c r="F9" s="79">
        <f t="shared" si="0"/>
        <v>3766152.6799999997</v>
      </c>
      <c r="G9" s="79">
        <f t="shared" si="0"/>
        <v>1867108.0900000003</v>
      </c>
    </row>
    <row r="10" spans="1:7" ht="14.25" x14ac:dyDescent="0.45">
      <c r="A10" s="83" t="s">
        <v>286</v>
      </c>
      <c r="B10" s="80">
        <f>SUM(B11:B17)</f>
        <v>3698842.4</v>
      </c>
      <c r="C10" s="80">
        <f t="shared" ref="C10:F10" si="1">SUM(C11:C17)</f>
        <v>-434773.36</v>
      </c>
      <c r="D10" s="80">
        <f t="shared" si="1"/>
        <v>3264069.0400000005</v>
      </c>
      <c r="E10" s="80">
        <f t="shared" si="1"/>
        <v>2927905.3</v>
      </c>
      <c r="F10" s="80">
        <f t="shared" si="1"/>
        <v>2927905.3</v>
      </c>
      <c r="G10" s="80">
        <f>SUM(G11:G17)</f>
        <v>336163.74</v>
      </c>
    </row>
    <row r="11" spans="1:7" x14ac:dyDescent="0.25">
      <c r="A11" s="84" t="s">
        <v>287</v>
      </c>
      <c r="B11" s="80">
        <v>2848656.64</v>
      </c>
      <c r="C11" s="80">
        <v>-323842.49</v>
      </c>
      <c r="D11" s="80">
        <v>2524814.1500000004</v>
      </c>
      <c r="E11" s="80">
        <v>2524814.15</v>
      </c>
      <c r="F11" s="80">
        <v>2524814.15</v>
      </c>
      <c r="G11" s="80">
        <f>D11-E11</f>
        <v>0</v>
      </c>
    </row>
    <row r="12" spans="1:7" x14ac:dyDescent="0.25">
      <c r="A12" s="84" t="s">
        <v>288</v>
      </c>
      <c r="B12" s="80">
        <v>281524.5</v>
      </c>
      <c r="C12" s="80">
        <v>-140762.25</v>
      </c>
      <c r="D12" s="80">
        <v>140762.25</v>
      </c>
      <c r="E12" s="80">
        <v>32538.46</v>
      </c>
      <c r="F12" s="80">
        <v>32538.46</v>
      </c>
      <c r="G12" s="80">
        <f>D12-E12</f>
        <v>108223.79000000001</v>
      </c>
    </row>
    <row r="13" spans="1:7" x14ac:dyDescent="0.25">
      <c r="A13" s="84" t="s">
        <v>289</v>
      </c>
      <c r="B13" s="80">
        <v>358027.86</v>
      </c>
      <c r="C13" s="80">
        <v>-33040.07</v>
      </c>
      <c r="D13" s="80">
        <v>324987.78999999998</v>
      </c>
      <c r="E13" s="80">
        <v>320651.44</v>
      </c>
      <c r="F13" s="80">
        <v>320651.44</v>
      </c>
      <c r="G13" s="80">
        <f t="shared" ref="G13:G17" si="2">D13-E13</f>
        <v>4336.3499999999767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210633.4</v>
      </c>
      <c r="C15" s="80">
        <v>62871.45</v>
      </c>
      <c r="D15" s="80">
        <v>273504.84999999998</v>
      </c>
      <c r="E15" s="80">
        <v>49901.25</v>
      </c>
      <c r="F15" s="80">
        <v>49901.25</v>
      </c>
      <c r="G15" s="80">
        <f t="shared" si="2"/>
        <v>223603.59999999998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535700</v>
      </c>
      <c r="C18" s="80">
        <f t="shared" ref="C18:F18" si="3">SUM(C19:C27)</f>
        <v>-63389.599999999999</v>
      </c>
      <c r="D18" s="80">
        <f t="shared" si="3"/>
        <v>472310.4</v>
      </c>
      <c r="E18" s="80">
        <f t="shared" si="3"/>
        <v>84331.83</v>
      </c>
      <c r="F18" s="80">
        <f t="shared" si="3"/>
        <v>84331.83</v>
      </c>
      <c r="G18" s="80">
        <f>SUM(G19:G27)</f>
        <v>387978.57</v>
      </c>
    </row>
    <row r="19" spans="1:7" x14ac:dyDescent="0.25">
      <c r="A19" s="84" t="s">
        <v>295</v>
      </c>
      <c r="B19" s="80">
        <v>135700</v>
      </c>
      <c r="C19" s="80">
        <v>-45623</v>
      </c>
      <c r="D19" s="80">
        <v>90077</v>
      </c>
      <c r="E19" s="80">
        <v>51964.45</v>
      </c>
      <c r="F19" s="80">
        <v>51964.45</v>
      </c>
      <c r="G19" s="80">
        <f>D19-E19</f>
        <v>38112.550000000003</v>
      </c>
    </row>
    <row r="20" spans="1:7" x14ac:dyDescent="0.25">
      <c r="A20" s="84" t="s">
        <v>296</v>
      </c>
      <c r="B20" s="80">
        <v>13000</v>
      </c>
      <c r="C20" s="80">
        <v>-6676</v>
      </c>
      <c r="D20" s="80">
        <v>6324</v>
      </c>
      <c r="E20" s="80">
        <v>5438.9</v>
      </c>
      <c r="F20" s="80">
        <v>5438.9</v>
      </c>
      <c r="G20" s="80">
        <f t="shared" ref="G20:G27" si="4">D20-E20</f>
        <v>885.10000000000036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288000</v>
      </c>
      <c r="C23" s="80">
        <v>0</v>
      </c>
      <c r="D23" s="80">
        <v>288000</v>
      </c>
      <c r="E23" s="80">
        <v>13656.13</v>
      </c>
      <c r="F23" s="80">
        <v>13656.13</v>
      </c>
      <c r="G23" s="80">
        <f t="shared" si="4"/>
        <v>274343.87</v>
      </c>
    </row>
    <row r="24" spans="1:7" x14ac:dyDescent="0.25">
      <c r="A24" s="84" t="s">
        <v>300</v>
      </c>
      <c r="B24" s="80">
        <v>42000</v>
      </c>
      <c r="C24" s="80">
        <v>-5000</v>
      </c>
      <c r="D24" s="80">
        <v>37000</v>
      </c>
      <c r="E24" s="80">
        <v>9398.02</v>
      </c>
      <c r="F24" s="80">
        <v>9398.02</v>
      </c>
      <c r="G24" s="80">
        <f t="shared" si="4"/>
        <v>27601.98</v>
      </c>
    </row>
    <row r="25" spans="1:7" x14ac:dyDescent="0.25">
      <c r="A25" s="84" t="s">
        <v>301</v>
      </c>
      <c r="B25" s="80">
        <v>16000</v>
      </c>
      <c r="C25" s="80">
        <v>-16000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41000</v>
      </c>
      <c r="C27" s="80">
        <v>9909.4</v>
      </c>
      <c r="D27" s="80">
        <v>50909.4</v>
      </c>
      <c r="E27" s="80">
        <v>3874.33</v>
      </c>
      <c r="F27" s="80">
        <v>3874.33</v>
      </c>
      <c r="G27" s="80">
        <f t="shared" si="4"/>
        <v>47035.07</v>
      </c>
    </row>
    <row r="28" spans="1:7" x14ac:dyDescent="0.25">
      <c r="A28" s="83" t="s">
        <v>304</v>
      </c>
      <c r="B28" s="80">
        <f>SUM(B29:B37)</f>
        <v>599104.89</v>
      </c>
      <c r="C28" s="80">
        <f t="shared" ref="C28:G28" si="5">SUM(C29:C37)</f>
        <v>591489.98</v>
      </c>
      <c r="D28" s="80">
        <f t="shared" si="5"/>
        <v>1190594.8700000001</v>
      </c>
      <c r="E28" s="80">
        <f t="shared" si="5"/>
        <v>327943.51</v>
      </c>
      <c r="F28" s="80">
        <f t="shared" si="5"/>
        <v>327943.51</v>
      </c>
      <c r="G28" s="80">
        <f t="shared" si="5"/>
        <v>862651.3600000001</v>
      </c>
    </row>
    <row r="29" spans="1:7" x14ac:dyDescent="0.25">
      <c r="A29" s="84" t="s">
        <v>305</v>
      </c>
      <c r="B29" s="80">
        <v>15500</v>
      </c>
      <c r="C29" s="80">
        <v>4000</v>
      </c>
      <c r="D29" s="80">
        <v>19500</v>
      </c>
      <c r="E29" s="80">
        <v>9939.1200000000008</v>
      </c>
      <c r="F29" s="80">
        <v>9939.1200000000008</v>
      </c>
      <c r="G29" s="80">
        <f>D29-E29</f>
        <v>9560.8799999999992</v>
      </c>
    </row>
    <row r="30" spans="1:7" x14ac:dyDescent="0.25">
      <c r="A30" s="84" t="s">
        <v>306</v>
      </c>
      <c r="B30" s="80">
        <v>49400</v>
      </c>
      <c r="C30" s="80">
        <v>-41616</v>
      </c>
      <c r="D30" s="80">
        <v>7784</v>
      </c>
      <c r="E30" s="80">
        <v>7784</v>
      </c>
      <c r="F30" s="80">
        <v>7784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221000</v>
      </c>
      <c r="C31" s="80">
        <v>611103.04</v>
      </c>
      <c r="D31" s="80">
        <v>832103.04</v>
      </c>
      <c r="E31" s="80">
        <v>112932.93</v>
      </c>
      <c r="F31" s="80">
        <v>112932.93</v>
      </c>
      <c r="G31" s="80">
        <f t="shared" si="6"/>
        <v>719170.1100000001</v>
      </c>
    </row>
    <row r="32" spans="1:7" x14ac:dyDescent="0.25">
      <c r="A32" s="84" t="s">
        <v>308</v>
      </c>
      <c r="B32" s="80">
        <v>48400</v>
      </c>
      <c r="C32" s="80">
        <v>0</v>
      </c>
      <c r="D32" s="80">
        <v>48400</v>
      </c>
      <c r="E32" s="80">
        <v>27707.83</v>
      </c>
      <c r="F32" s="80">
        <v>27707.83</v>
      </c>
      <c r="G32" s="80">
        <f t="shared" si="6"/>
        <v>20692.169999999998</v>
      </c>
    </row>
    <row r="33" spans="1:7" x14ac:dyDescent="0.25">
      <c r="A33" s="84" t="s">
        <v>309</v>
      </c>
      <c r="B33" s="80">
        <v>70000</v>
      </c>
      <c r="C33" s="80">
        <v>-3000</v>
      </c>
      <c r="D33" s="80">
        <v>67000</v>
      </c>
      <c r="E33" s="80">
        <v>13605.99</v>
      </c>
      <c r="F33" s="80">
        <v>13605.99</v>
      </c>
      <c r="G33" s="80">
        <f t="shared" si="6"/>
        <v>53394.01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39000</v>
      </c>
      <c r="C35" s="80">
        <v>1000</v>
      </c>
      <c r="D35" s="80">
        <v>40000</v>
      </c>
      <c r="E35" s="80">
        <v>27870</v>
      </c>
      <c r="F35" s="80">
        <v>27870</v>
      </c>
      <c r="G35" s="80">
        <f t="shared" si="6"/>
        <v>12130</v>
      </c>
    </row>
    <row r="36" spans="1:7" x14ac:dyDescent="0.25">
      <c r="A36" s="84" t="s">
        <v>312</v>
      </c>
      <c r="B36" s="80">
        <v>65464.39</v>
      </c>
      <c r="C36" s="80">
        <v>21802.94</v>
      </c>
      <c r="D36" s="80">
        <v>87267.33</v>
      </c>
      <c r="E36" s="80">
        <v>61294.74</v>
      </c>
      <c r="F36" s="80">
        <v>61294.74</v>
      </c>
      <c r="G36" s="80">
        <f t="shared" si="6"/>
        <v>25972.590000000004</v>
      </c>
    </row>
    <row r="37" spans="1:7" x14ac:dyDescent="0.25">
      <c r="A37" s="84" t="s">
        <v>313</v>
      </c>
      <c r="B37" s="80">
        <v>90340.5</v>
      </c>
      <c r="C37" s="80">
        <v>-1800</v>
      </c>
      <c r="D37" s="80">
        <v>88540.5</v>
      </c>
      <c r="E37" s="80">
        <v>66808.899999999994</v>
      </c>
      <c r="F37" s="80">
        <v>66808.899999999994</v>
      </c>
      <c r="G37" s="80">
        <f t="shared" si="6"/>
        <v>21731.600000000006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676233.58000000007</v>
      </c>
      <c r="C48" s="80">
        <f t="shared" ref="C48:G48" si="9">SUM(C49:C57)</f>
        <v>30052.880000000005</v>
      </c>
      <c r="D48" s="80">
        <f t="shared" si="9"/>
        <v>706286.46</v>
      </c>
      <c r="E48" s="80">
        <f t="shared" si="9"/>
        <v>425972.04000000004</v>
      </c>
      <c r="F48" s="80">
        <f t="shared" si="9"/>
        <v>425972.04000000004</v>
      </c>
      <c r="G48" s="80">
        <f t="shared" si="9"/>
        <v>280314.42000000004</v>
      </c>
    </row>
    <row r="49" spans="1:7" x14ac:dyDescent="0.25">
      <c r="A49" s="84" t="s">
        <v>325</v>
      </c>
      <c r="B49" s="80">
        <v>207523.57</v>
      </c>
      <c r="C49" s="80">
        <v>-2538.11</v>
      </c>
      <c r="D49" s="80">
        <v>204985.46000000002</v>
      </c>
      <c r="E49" s="80">
        <v>152884.04</v>
      </c>
      <c r="F49" s="80">
        <v>152884.04</v>
      </c>
      <c r="G49" s="80">
        <f>D49-E49</f>
        <v>52101.420000000013</v>
      </c>
    </row>
    <row r="50" spans="1:7" x14ac:dyDescent="0.25">
      <c r="A50" s="84" t="s">
        <v>326</v>
      </c>
      <c r="B50" s="80">
        <v>20000</v>
      </c>
      <c r="C50" s="80">
        <v>-20000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448710.01</v>
      </c>
      <c r="C54" s="80">
        <v>-79622.009999999995</v>
      </c>
      <c r="D54" s="80">
        <v>369088</v>
      </c>
      <c r="E54" s="80">
        <v>273088</v>
      </c>
      <c r="F54" s="80">
        <v>273088</v>
      </c>
      <c r="G54" s="80">
        <f t="shared" si="10"/>
        <v>96000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132213</v>
      </c>
      <c r="D57" s="80">
        <v>132213</v>
      </c>
      <c r="E57" s="80">
        <v>0</v>
      </c>
      <c r="F57" s="80">
        <v>0</v>
      </c>
      <c r="G57" s="80">
        <f t="shared" si="10"/>
        <v>132213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140224.26</v>
      </c>
      <c r="C62" s="80">
        <f t="shared" ref="C62:G62" si="13">SUM(C63:C67,C69:C70)</f>
        <v>-140224.26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>
        <v>140224.26</v>
      </c>
      <c r="C70" s="80">
        <v>-140224.26</v>
      </c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5650105.1299999999</v>
      </c>
      <c r="C159" s="79">
        <f t="shared" ref="C159:G159" si="38">C9+C84</f>
        <v>-16844.359999999986</v>
      </c>
      <c r="D159" s="79">
        <f t="shared" si="38"/>
        <v>5633260.7700000005</v>
      </c>
      <c r="E159" s="79">
        <f t="shared" si="38"/>
        <v>3766152.6799999997</v>
      </c>
      <c r="F159" s="79">
        <f t="shared" si="38"/>
        <v>3766152.6799999997</v>
      </c>
      <c r="G159" s="79">
        <f t="shared" si="38"/>
        <v>1867108.0900000003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  <rowBreaks count="1" manualBreakCount="1">
    <brk id="11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5650105.1299999999</v>
      </c>
      <c r="Q2" s="18">
        <f>'Formato 6 a)'!C9</f>
        <v>-16844.359999999986</v>
      </c>
      <c r="R2" s="18">
        <f>'Formato 6 a)'!D9</f>
        <v>5633260.7700000005</v>
      </c>
      <c r="S2" s="18">
        <f>'Formato 6 a)'!E9</f>
        <v>3766152.6799999997</v>
      </c>
      <c r="T2" s="18">
        <f>'Formato 6 a)'!F9</f>
        <v>3766152.6799999997</v>
      </c>
      <c r="U2" s="18">
        <f>'Formato 6 a)'!G9</f>
        <v>1867108.0900000003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3698842.4</v>
      </c>
      <c r="Q3" s="18">
        <f>'Formato 6 a)'!C10</f>
        <v>-434773.36</v>
      </c>
      <c r="R3" s="18">
        <f>'Formato 6 a)'!D10</f>
        <v>3264069.0400000005</v>
      </c>
      <c r="S3" s="18">
        <f>'Formato 6 a)'!E10</f>
        <v>2927905.3</v>
      </c>
      <c r="T3" s="18">
        <f>'Formato 6 a)'!F10</f>
        <v>2927905.3</v>
      </c>
      <c r="U3" s="18">
        <f>'Formato 6 a)'!G10</f>
        <v>336163.74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2848656.64</v>
      </c>
      <c r="Q4" s="18">
        <f>'Formato 6 a)'!C11</f>
        <v>-323842.49</v>
      </c>
      <c r="R4" s="18">
        <f>'Formato 6 a)'!D11</f>
        <v>2524814.1500000004</v>
      </c>
      <c r="S4" s="18">
        <f>'Formato 6 a)'!E11</f>
        <v>2524814.15</v>
      </c>
      <c r="T4" s="18">
        <f>'Formato 6 a)'!F11</f>
        <v>2524814.15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281524.5</v>
      </c>
      <c r="Q5" s="18">
        <f>'Formato 6 a)'!C12</f>
        <v>-140762.25</v>
      </c>
      <c r="R5" s="18">
        <f>'Formato 6 a)'!D12</f>
        <v>140762.25</v>
      </c>
      <c r="S5" s="18">
        <f>'Formato 6 a)'!E12</f>
        <v>32538.46</v>
      </c>
      <c r="T5" s="18">
        <f>'Formato 6 a)'!F12</f>
        <v>32538.46</v>
      </c>
      <c r="U5" s="18">
        <f>'Formato 6 a)'!G12</f>
        <v>108223.79000000001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358027.86</v>
      </c>
      <c r="Q6" s="18">
        <f>'Formato 6 a)'!C13</f>
        <v>-33040.07</v>
      </c>
      <c r="R6" s="18">
        <f>'Formato 6 a)'!D13</f>
        <v>324987.78999999998</v>
      </c>
      <c r="S6" s="18">
        <f>'Formato 6 a)'!E13</f>
        <v>320651.44</v>
      </c>
      <c r="T6" s="18">
        <f>'Formato 6 a)'!F13</f>
        <v>320651.44</v>
      </c>
      <c r="U6" s="18">
        <f>'Formato 6 a)'!G13</f>
        <v>4336.3499999999767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210633.4</v>
      </c>
      <c r="Q8" s="18">
        <f>'Formato 6 a)'!C15</f>
        <v>62871.45</v>
      </c>
      <c r="R8" s="18">
        <f>'Formato 6 a)'!D15</f>
        <v>273504.84999999998</v>
      </c>
      <c r="S8" s="18">
        <f>'Formato 6 a)'!E15</f>
        <v>49901.25</v>
      </c>
      <c r="T8" s="18">
        <f>'Formato 6 a)'!F15</f>
        <v>49901.25</v>
      </c>
      <c r="U8" s="18">
        <f>'Formato 6 a)'!G15</f>
        <v>223603.59999999998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535700</v>
      </c>
      <c r="Q11" s="18">
        <f>'Formato 6 a)'!C18</f>
        <v>-63389.599999999999</v>
      </c>
      <c r="R11" s="18">
        <f>'Formato 6 a)'!D18</f>
        <v>472310.4</v>
      </c>
      <c r="S11" s="18">
        <f>'Formato 6 a)'!E18</f>
        <v>84331.83</v>
      </c>
      <c r="T11" s="18">
        <f>'Formato 6 a)'!F18</f>
        <v>84331.83</v>
      </c>
      <c r="U11" s="18">
        <f>'Formato 6 a)'!G18</f>
        <v>387978.57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135700</v>
      </c>
      <c r="Q12" s="18">
        <f>'Formato 6 a)'!C19</f>
        <v>-45623</v>
      </c>
      <c r="R12" s="18">
        <f>'Formato 6 a)'!D19</f>
        <v>90077</v>
      </c>
      <c r="S12" s="18">
        <f>'Formato 6 a)'!E19</f>
        <v>51964.45</v>
      </c>
      <c r="T12" s="18">
        <f>'Formato 6 a)'!F19</f>
        <v>51964.45</v>
      </c>
      <c r="U12" s="18">
        <f>'Formato 6 a)'!G19</f>
        <v>38112.550000000003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13000</v>
      </c>
      <c r="Q13" s="18">
        <f>'Formato 6 a)'!C20</f>
        <v>-6676</v>
      </c>
      <c r="R13" s="18">
        <f>'Formato 6 a)'!D20</f>
        <v>6324</v>
      </c>
      <c r="S13" s="18">
        <f>'Formato 6 a)'!E20</f>
        <v>5438.9</v>
      </c>
      <c r="T13" s="18">
        <f>'Formato 6 a)'!F20</f>
        <v>5438.9</v>
      </c>
      <c r="U13" s="18">
        <f>'Formato 6 a)'!G20</f>
        <v>885.10000000000036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288000</v>
      </c>
      <c r="Q16" s="18">
        <f>'Formato 6 a)'!C23</f>
        <v>0</v>
      </c>
      <c r="R16" s="18">
        <f>'Formato 6 a)'!D23</f>
        <v>288000</v>
      </c>
      <c r="S16" s="18">
        <f>'Formato 6 a)'!E23</f>
        <v>13656.13</v>
      </c>
      <c r="T16" s="18">
        <f>'Formato 6 a)'!F23</f>
        <v>13656.13</v>
      </c>
      <c r="U16" s="18">
        <f>'Formato 6 a)'!G23</f>
        <v>274343.87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42000</v>
      </c>
      <c r="Q17" s="18">
        <f>'Formato 6 a)'!C24</f>
        <v>-5000</v>
      </c>
      <c r="R17" s="18">
        <f>'Formato 6 a)'!D24</f>
        <v>37000</v>
      </c>
      <c r="S17" s="18">
        <f>'Formato 6 a)'!E24</f>
        <v>9398.02</v>
      </c>
      <c r="T17" s="18">
        <f>'Formato 6 a)'!F24</f>
        <v>9398.02</v>
      </c>
      <c r="U17" s="18">
        <f>'Formato 6 a)'!G24</f>
        <v>27601.98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16000</v>
      </c>
      <c r="Q18" s="18">
        <f>'Formato 6 a)'!C25</f>
        <v>-16000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41000</v>
      </c>
      <c r="Q20" s="18">
        <f>'Formato 6 a)'!C27</f>
        <v>9909.4</v>
      </c>
      <c r="R20" s="18">
        <f>'Formato 6 a)'!D27</f>
        <v>50909.4</v>
      </c>
      <c r="S20" s="18">
        <f>'Formato 6 a)'!E27</f>
        <v>3874.33</v>
      </c>
      <c r="T20" s="18">
        <f>'Formato 6 a)'!F27</f>
        <v>3874.33</v>
      </c>
      <c r="U20" s="18">
        <f>'Formato 6 a)'!G27</f>
        <v>47035.07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599104.89</v>
      </c>
      <c r="Q21" s="18">
        <f>'Formato 6 a)'!C28</f>
        <v>591489.98</v>
      </c>
      <c r="R21" s="18">
        <f>'Formato 6 a)'!D28</f>
        <v>1190594.8700000001</v>
      </c>
      <c r="S21" s="18">
        <f>'Formato 6 a)'!E28</f>
        <v>327943.51</v>
      </c>
      <c r="T21" s="18">
        <f>'Formato 6 a)'!F28</f>
        <v>327943.51</v>
      </c>
      <c r="U21" s="18">
        <f>'Formato 6 a)'!G28</f>
        <v>862651.3600000001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15500</v>
      </c>
      <c r="Q22" s="18">
        <f>'Formato 6 a)'!C29</f>
        <v>4000</v>
      </c>
      <c r="R22" s="18">
        <f>'Formato 6 a)'!D29</f>
        <v>19500</v>
      </c>
      <c r="S22" s="18">
        <f>'Formato 6 a)'!E29</f>
        <v>9939.1200000000008</v>
      </c>
      <c r="T22" s="18">
        <f>'Formato 6 a)'!F29</f>
        <v>9939.1200000000008</v>
      </c>
      <c r="U22" s="18">
        <f>'Formato 6 a)'!G29</f>
        <v>9560.8799999999992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49400</v>
      </c>
      <c r="Q23" s="18">
        <f>'Formato 6 a)'!C30</f>
        <v>-41616</v>
      </c>
      <c r="R23" s="18">
        <f>'Formato 6 a)'!D30</f>
        <v>7784</v>
      </c>
      <c r="S23" s="18">
        <f>'Formato 6 a)'!E30</f>
        <v>7784</v>
      </c>
      <c r="T23" s="18">
        <f>'Formato 6 a)'!F30</f>
        <v>7784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221000</v>
      </c>
      <c r="Q24" s="18">
        <f>'Formato 6 a)'!C31</f>
        <v>611103.04</v>
      </c>
      <c r="R24" s="18">
        <f>'Formato 6 a)'!D31</f>
        <v>832103.04</v>
      </c>
      <c r="S24" s="18">
        <f>'Formato 6 a)'!E31</f>
        <v>112932.93</v>
      </c>
      <c r="T24" s="18">
        <f>'Formato 6 a)'!F31</f>
        <v>112932.93</v>
      </c>
      <c r="U24" s="18">
        <f>'Formato 6 a)'!G31</f>
        <v>719170.1100000001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48400</v>
      </c>
      <c r="Q25" s="18">
        <f>'Formato 6 a)'!C32</f>
        <v>0</v>
      </c>
      <c r="R25" s="18">
        <f>'Formato 6 a)'!D32</f>
        <v>48400</v>
      </c>
      <c r="S25" s="18">
        <f>'Formato 6 a)'!E32</f>
        <v>27707.83</v>
      </c>
      <c r="T25" s="18">
        <f>'Formato 6 a)'!F32</f>
        <v>27707.83</v>
      </c>
      <c r="U25" s="18">
        <f>'Formato 6 a)'!G32</f>
        <v>20692.169999999998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70000</v>
      </c>
      <c r="Q26" s="18">
        <f>'Formato 6 a)'!C33</f>
        <v>-3000</v>
      </c>
      <c r="R26" s="18">
        <f>'Formato 6 a)'!D33</f>
        <v>67000</v>
      </c>
      <c r="S26" s="18">
        <f>'Formato 6 a)'!E33</f>
        <v>13605.99</v>
      </c>
      <c r="T26" s="18">
        <f>'Formato 6 a)'!F33</f>
        <v>13605.99</v>
      </c>
      <c r="U26" s="18">
        <f>'Formato 6 a)'!G33</f>
        <v>53394.01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39000</v>
      </c>
      <c r="Q28" s="18">
        <f>'Formato 6 a)'!C35</f>
        <v>1000</v>
      </c>
      <c r="R28" s="18">
        <f>'Formato 6 a)'!D35</f>
        <v>40000</v>
      </c>
      <c r="S28" s="18">
        <f>'Formato 6 a)'!E35</f>
        <v>27870</v>
      </c>
      <c r="T28" s="18">
        <f>'Formato 6 a)'!F35</f>
        <v>27870</v>
      </c>
      <c r="U28" s="18">
        <f>'Formato 6 a)'!G35</f>
        <v>12130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65464.39</v>
      </c>
      <c r="Q29" s="18">
        <f>'Formato 6 a)'!C36</f>
        <v>21802.94</v>
      </c>
      <c r="R29" s="18">
        <f>'Formato 6 a)'!D36</f>
        <v>87267.33</v>
      </c>
      <c r="S29" s="18">
        <f>'Formato 6 a)'!E36</f>
        <v>61294.74</v>
      </c>
      <c r="T29" s="18">
        <f>'Formato 6 a)'!F36</f>
        <v>61294.74</v>
      </c>
      <c r="U29" s="18">
        <f>'Formato 6 a)'!G36</f>
        <v>25972.590000000004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90340.5</v>
      </c>
      <c r="Q30" s="18">
        <f>'Formato 6 a)'!C37</f>
        <v>-1800</v>
      </c>
      <c r="R30" s="18">
        <f>'Formato 6 a)'!D37</f>
        <v>88540.5</v>
      </c>
      <c r="S30" s="18">
        <f>'Formato 6 a)'!E37</f>
        <v>66808.899999999994</v>
      </c>
      <c r="T30" s="18">
        <f>'Formato 6 a)'!F37</f>
        <v>66808.899999999994</v>
      </c>
      <c r="U30" s="18">
        <f>'Formato 6 a)'!G37</f>
        <v>21731.600000000006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676233.58000000007</v>
      </c>
      <c r="Q41" s="18">
        <f>'Formato 6 a)'!C48</f>
        <v>30052.880000000005</v>
      </c>
      <c r="R41" s="18">
        <f>'Formato 6 a)'!D48</f>
        <v>706286.46</v>
      </c>
      <c r="S41" s="18">
        <f>'Formato 6 a)'!E48</f>
        <v>425972.04000000004</v>
      </c>
      <c r="T41" s="18">
        <f>'Formato 6 a)'!F48</f>
        <v>425972.04000000004</v>
      </c>
      <c r="U41" s="18">
        <f>'Formato 6 a)'!G48</f>
        <v>280314.42000000004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207523.57</v>
      </c>
      <c r="Q42" s="18">
        <f>'Formato 6 a)'!C49</f>
        <v>-2538.11</v>
      </c>
      <c r="R42" s="18">
        <f>'Formato 6 a)'!D49</f>
        <v>204985.46000000002</v>
      </c>
      <c r="S42" s="18">
        <f>'Formato 6 a)'!E49</f>
        <v>152884.04</v>
      </c>
      <c r="T42" s="18">
        <f>'Formato 6 a)'!F49</f>
        <v>152884.04</v>
      </c>
      <c r="U42" s="18">
        <f>'Formato 6 a)'!G49</f>
        <v>52101.420000000013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20000</v>
      </c>
      <c r="Q43" s="18">
        <f>'Formato 6 a)'!C50</f>
        <v>-20000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448710.01</v>
      </c>
      <c r="Q47" s="18">
        <f>'Formato 6 a)'!C54</f>
        <v>-79622.009999999995</v>
      </c>
      <c r="R47" s="18">
        <f>'Formato 6 a)'!D54</f>
        <v>369088</v>
      </c>
      <c r="S47" s="18">
        <f>'Formato 6 a)'!E54</f>
        <v>273088</v>
      </c>
      <c r="T47" s="18">
        <f>'Formato 6 a)'!F54</f>
        <v>273088</v>
      </c>
      <c r="U47" s="18">
        <f>'Formato 6 a)'!G54</f>
        <v>96000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132213</v>
      </c>
      <c r="R50" s="18">
        <f>'Formato 6 a)'!D57</f>
        <v>132213</v>
      </c>
      <c r="S50" s="18">
        <f>'Formato 6 a)'!E57</f>
        <v>0</v>
      </c>
      <c r="T50" s="18">
        <f>'Formato 6 a)'!F57</f>
        <v>0</v>
      </c>
      <c r="U50" s="18">
        <f>'Formato 6 a)'!G57</f>
        <v>132213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140224.26</v>
      </c>
      <c r="Q55" s="18">
        <f>'Formato 6 a)'!C62</f>
        <v>-140224.26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140224.26</v>
      </c>
      <c r="Q63" s="18">
        <f>'Formato 6 a)'!C70</f>
        <v>-140224.26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5650105.1299999999</v>
      </c>
      <c r="Q150">
        <f>'Formato 6 a)'!C159</f>
        <v>-16844.359999999986</v>
      </c>
      <c r="R150">
        <f>'Formato 6 a)'!D159</f>
        <v>5633260.7700000005</v>
      </c>
      <c r="S150">
        <f>'Formato 6 a)'!E159</f>
        <v>3766152.6799999997</v>
      </c>
      <c r="T150">
        <f>'Formato 6 a)'!F159</f>
        <v>3766152.6799999997</v>
      </c>
      <c r="U150">
        <f>'Formato 6 a)'!G159</f>
        <v>1867108.0900000003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view="pageBreakPreview" zoomScale="60" zoomScaleNormal="90" workbookViewId="0">
      <selection activeCell="B12" sqref="B12:F1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174349.42</v>
      </c>
      <c r="C9" s="59">
        <f>SUM(C10:GASTO_NE_FIN_02)</f>
        <v>0</v>
      </c>
      <c r="D9" s="59">
        <f>SUM(D10:GASTO_NE_FIN_03)</f>
        <v>174349.42</v>
      </c>
      <c r="E9" s="59">
        <f>SUM(E10:GASTO_NE_FIN_04)</f>
        <v>49470.26</v>
      </c>
      <c r="F9" s="59">
        <f>SUM(F10:GASTO_NE_FIN_05)</f>
        <v>49470.26</v>
      </c>
      <c r="G9" s="59">
        <f>SUM(G10:GASTO_NE_FIN_06)</f>
        <v>124879.16</v>
      </c>
    </row>
    <row r="10" spans="1:7" s="24" customFormat="1" x14ac:dyDescent="0.25">
      <c r="A10" s="144" t="s">
        <v>432</v>
      </c>
      <c r="B10" s="60">
        <v>174349.42</v>
      </c>
      <c r="C10" s="60">
        <v>0</v>
      </c>
      <c r="D10" s="60">
        <v>174349.42</v>
      </c>
      <c r="E10" s="60">
        <v>49470.26</v>
      </c>
      <c r="F10" s="60">
        <v>49470.26</v>
      </c>
      <c r="G10" s="77">
        <f>D10-E10</f>
        <v>124879.16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>D12-E12</f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174349.42</v>
      </c>
      <c r="C29" s="61">
        <f>GASTO_NE_T2+GASTO_E_T2</f>
        <v>0</v>
      </c>
      <c r="D29" s="61">
        <f>GASTO_NE_T3+GASTO_E_T3</f>
        <v>174349.42</v>
      </c>
      <c r="E29" s="61">
        <f>GASTO_NE_T4+GASTO_E_T4</f>
        <v>49470.26</v>
      </c>
      <c r="F29" s="61">
        <f>GASTO_NE_T5+GASTO_E_T5</f>
        <v>49470.26</v>
      </c>
      <c r="G29" s="61">
        <f>GASTO_NE_T6+GASTO_E_T6</f>
        <v>124879.16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174349.42</v>
      </c>
      <c r="Q2" s="18">
        <f>GASTO_NE_T2</f>
        <v>0</v>
      </c>
      <c r="R2" s="18">
        <f>GASTO_NE_T3</f>
        <v>174349.42</v>
      </c>
      <c r="S2" s="18">
        <f>GASTO_NE_T4</f>
        <v>49470.26</v>
      </c>
      <c r="T2" s="18">
        <f>GASTO_NE_T5</f>
        <v>49470.26</v>
      </c>
      <c r="U2" s="18">
        <f>GASTO_NE_T6</f>
        <v>124879.16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174349.42</v>
      </c>
      <c r="Q4" s="18">
        <f>TOTAL_E_T2</f>
        <v>0</v>
      </c>
      <c r="R4" s="18">
        <f>TOTAL_E_T3</f>
        <v>174349.42</v>
      </c>
      <c r="S4" s="18">
        <f>TOTAL_E_T4</f>
        <v>49470.26</v>
      </c>
      <c r="T4" s="18">
        <f>TOTAL_E_T5</f>
        <v>49470.26</v>
      </c>
      <c r="U4" s="18">
        <f>TOTAL_E_T6</f>
        <v>124879.16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view="pageBreakPreview" topLeftCell="A49" zoomScale="60" zoomScaleNormal="9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174349.42</v>
      </c>
      <c r="C9" s="70">
        <f t="shared" ref="C9:G9" si="0">SUM(C10,C19,C27,C37)</f>
        <v>0</v>
      </c>
      <c r="D9" s="70">
        <f t="shared" si="0"/>
        <v>174349.42</v>
      </c>
      <c r="E9" s="70">
        <f t="shared" si="0"/>
        <v>49470.26</v>
      </c>
      <c r="F9" s="70">
        <f t="shared" si="0"/>
        <v>49470.26</v>
      </c>
      <c r="G9" s="70">
        <f t="shared" si="0"/>
        <v>124879.16</v>
      </c>
    </row>
    <row r="10" spans="1:7" ht="14.25" x14ac:dyDescent="0.45">
      <c r="A10" s="53" t="s">
        <v>364</v>
      </c>
      <c r="B10" s="71">
        <f>SUM(B11:B18)</f>
        <v>174349.42</v>
      </c>
      <c r="C10" s="71">
        <f t="shared" ref="C10:F10" si="1">SUM(C11:C18)</f>
        <v>0</v>
      </c>
      <c r="D10" s="71">
        <f t="shared" si="1"/>
        <v>174349.42</v>
      </c>
      <c r="E10" s="71">
        <f t="shared" si="1"/>
        <v>49470.26</v>
      </c>
      <c r="F10" s="71">
        <f t="shared" si="1"/>
        <v>49470.26</v>
      </c>
      <c r="G10" s="71">
        <f>SUM(G11:G18)</f>
        <v>124879.16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>
        <v>174349.42</v>
      </c>
      <c r="C13" s="72">
        <v>0</v>
      </c>
      <c r="D13" s="72">
        <v>174349.42</v>
      </c>
      <c r="E13" s="72">
        <v>49470.26</v>
      </c>
      <c r="F13" s="72">
        <v>49470.26</v>
      </c>
      <c r="G13" s="72">
        <f t="shared" si="2"/>
        <v>124879.16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174349.42</v>
      </c>
      <c r="C77" s="73">
        <f t="shared" ref="C77:F77" si="18">C43+C9</f>
        <v>0</v>
      </c>
      <c r="D77" s="73">
        <f t="shared" si="18"/>
        <v>174349.42</v>
      </c>
      <c r="E77" s="73">
        <f t="shared" si="18"/>
        <v>49470.26</v>
      </c>
      <c r="F77" s="73">
        <f t="shared" si="18"/>
        <v>49470.26</v>
      </c>
      <c r="G77" s="73">
        <f>G43+G9</f>
        <v>124879.16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174349.42</v>
      </c>
      <c r="Q2" s="18">
        <f>'Formato 6 c)'!C9</f>
        <v>0</v>
      </c>
      <c r="R2" s="18">
        <f>'Formato 6 c)'!D9</f>
        <v>174349.42</v>
      </c>
      <c r="S2" s="18">
        <f>'Formato 6 c)'!E9</f>
        <v>49470.26</v>
      </c>
      <c r="T2" s="18">
        <f>'Formato 6 c)'!F9</f>
        <v>49470.26</v>
      </c>
      <c r="U2" s="18">
        <f>'Formato 6 c)'!G9</f>
        <v>124879.16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174349.42</v>
      </c>
      <c r="Q3" s="18">
        <f>'Formato 6 c)'!C10</f>
        <v>0</v>
      </c>
      <c r="R3" s="18">
        <f>'Formato 6 c)'!D10</f>
        <v>174349.42</v>
      </c>
      <c r="S3" s="18">
        <f>'Formato 6 c)'!E10</f>
        <v>49470.26</v>
      </c>
      <c r="T3" s="18">
        <f>'Formato 6 c)'!F10</f>
        <v>49470.26</v>
      </c>
      <c r="U3" s="18">
        <f>'Formato 6 c)'!G10</f>
        <v>124879.16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174349.42</v>
      </c>
      <c r="Q6" s="18">
        <f>'Formato 6 c)'!C13</f>
        <v>0</v>
      </c>
      <c r="R6" s="18">
        <f>'Formato 6 c)'!D13</f>
        <v>174349.42</v>
      </c>
      <c r="S6" s="18">
        <f>'Formato 6 c)'!E13</f>
        <v>49470.26</v>
      </c>
      <c r="T6" s="18">
        <f>'Formato 6 c)'!F13</f>
        <v>49470.26</v>
      </c>
      <c r="U6" s="18">
        <f>'Formato 6 c)'!G13</f>
        <v>124879.16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174349.42</v>
      </c>
      <c r="Q68" s="18">
        <f>'Formato 6 c)'!C77</f>
        <v>0</v>
      </c>
      <c r="R68" s="18">
        <f>'Formato 6 c)'!D77</f>
        <v>174349.42</v>
      </c>
      <c r="S68" s="18">
        <f>'Formato 6 c)'!E77</f>
        <v>49470.26</v>
      </c>
      <c r="T68" s="18">
        <f>'Formato 6 c)'!F77</f>
        <v>49470.26</v>
      </c>
      <c r="U68" s="18">
        <f>'Formato 6 c)'!G77</f>
        <v>124879.16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PLANEACION DE SAN MIGUEL DE ALLENDE, GTO., Gobierno del Estado de Guanajuato</v>
      </c>
    </row>
    <row r="7" spans="2:3" ht="14.25" x14ac:dyDescent="0.45">
      <c r="C7" t="str">
        <f>CONCATENATE(ENTE_PUBLICO," (a)")</f>
        <v>INSTITUTO MUNICIPAL DE PLANEACION DE SAN MIGUEL DE ALLENDE,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60" x14ac:dyDescent="0.2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x14ac:dyDescent="0.2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view="pageBreakPreview" zoomScale="60" zoomScaleNormal="80" workbookViewId="0">
      <selection activeCell="B29" sqref="B29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2020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93150.09</v>
      </c>
      <c r="C9" s="66">
        <f t="shared" ref="C9:F9" si="0">SUM(C10,C11,C12,C15,C16,C19)</f>
        <v>9676</v>
      </c>
      <c r="D9" s="66">
        <f t="shared" si="0"/>
        <v>102826.09</v>
      </c>
      <c r="E9" s="66">
        <f t="shared" si="0"/>
        <v>0</v>
      </c>
      <c r="F9" s="66">
        <f t="shared" si="0"/>
        <v>0</v>
      </c>
      <c r="G9" s="66">
        <f>SUM(G10,G11,G12,G15,G16,G19)</f>
        <v>102826.09</v>
      </c>
    </row>
    <row r="10" spans="1:7" x14ac:dyDescent="0.25">
      <c r="A10" s="53" t="s">
        <v>401</v>
      </c>
      <c r="B10" s="67">
        <v>93150.09</v>
      </c>
      <c r="C10" s="67">
        <v>9676</v>
      </c>
      <c r="D10" s="67">
        <v>102826.09</v>
      </c>
      <c r="E10" s="67"/>
      <c r="F10" s="67"/>
      <c r="G10" s="67">
        <f>D10-E10</f>
        <v>102826.09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93150.09</v>
      </c>
      <c r="C33" s="66">
        <f t="shared" ref="C33:G33" si="9">C21+C9</f>
        <v>9676</v>
      </c>
      <c r="D33" s="66">
        <f t="shared" si="9"/>
        <v>102826.09</v>
      </c>
      <c r="E33" s="66">
        <f t="shared" si="9"/>
        <v>0</v>
      </c>
      <c r="F33" s="66">
        <f t="shared" si="9"/>
        <v>0</v>
      </c>
      <c r="G33" s="66">
        <f t="shared" si="9"/>
        <v>102826.09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3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93150.09</v>
      </c>
      <c r="Q2" s="18">
        <f>'Formato 6 d)'!C9</f>
        <v>9676</v>
      </c>
      <c r="R2" s="18">
        <f>'Formato 6 d)'!D9</f>
        <v>102826.09</v>
      </c>
      <c r="S2" s="18">
        <f>'Formato 6 d)'!E9</f>
        <v>0</v>
      </c>
      <c r="T2" s="18">
        <f>'Formato 6 d)'!F9</f>
        <v>0</v>
      </c>
      <c r="U2" s="18">
        <f>'Formato 6 d)'!G9</f>
        <v>102826.09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93150.09</v>
      </c>
      <c r="Q3" s="18">
        <f>'Formato 6 d)'!C10</f>
        <v>9676</v>
      </c>
      <c r="R3" s="18">
        <f>'Formato 6 d)'!D10</f>
        <v>102826.09</v>
      </c>
      <c r="S3" s="18">
        <f>'Formato 6 d)'!E10</f>
        <v>0</v>
      </c>
      <c r="T3" s="18">
        <f>'Formato 6 d)'!F10</f>
        <v>0</v>
      </c>
      <c r="U3" s="18">
        <f>'Formato 6 d)'!G10</f>
        <v>102826.09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93150.09</v>
      </c>
      <c r="Q24" s="18">
        <f>'Formato 6 d)'!C33</f>
        <v>9676</v>
      </c>
      <c r="R24" s="18">
        <f>'Formato 6 d)'!D33</f>
        <v>102826.09</v>
      </c>
      <c r="S24" s="18">
        <f>'Formato 6 d)'!E33</f>
        <v>0</v>
      </c>
      <c r="T24" s="18">
        <f>'Formato 6 d)'!F33</f>
        <v>0</v>
      </c>
      <c r="U24" s="18">
        <f>'Formato 6 d)'!G33</f>
        <v>102826.09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view="pageBreakPreview" zoomScale="60" zoomScaleNormal="85" zoomScalePageLayoutView="90" workbookViewId="0">
      <selection activeCell="G36" sqref="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view="pageBreakPreview" zoomScale="60" zoomScaleNormal="90" workbookViewId="0">
      <selection activeCell="F31" sqref="F3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2021</v>
      </c>
      <c r="C6" s="181" t="str">
        <f>ANIO2P</f>
        <v>2022 (d)</v>
      </c>
      <c r="D6" s="181" t="str">
        <f>ANIO3P</f>
        <v>2023 (d)</v>
      </c>
      <c r="E6" s="181" t="str">
        <f>ANIO4P</f>
        <v>2024 (d)</v>
      </c>
      <c r="F6" s="181" t="str">
        <f>ANIO5P</f>
        <v>2025 (d)</v>
      </c>
      <c r="G6" s="181" t="str">
        <f>ANIO6P</f>
        <v>2026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paperSize="9" scale="4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view="pageBreakPreview" zoomScale="60" zoomScaleNormal="80" workbookViewId="0">
      <pane ySplit="6" topLeftCell="A22" activePane="bottomLeft" state="frozen"/>
      <selection pane="bottomLeft" activeCell="G35" sqref="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550000</v>
      </c>
      <c r="C7" s="59">
        <f t="shared" ref="C7:G7" si="0">SUM(C8:C19)</f>
        <v>876594.45</v>
      </c>
      <c r="D7" s="59">
        <f t="shared" si="0"/>
        <v>2017591.2999999998</v>
      </c>
      <c r="E7" s="59">
        <f t="shared" si="0"/>
        <v>1491628.41</v>
      </c>
      <c r="F7" s="59">
        <f t="shared" si="0"/>
        <v>3926546.27</v>
      </c>
      <c r="G7" s="59">
        <f t="shared" si="0"/>
        <v>4359600.75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>
        <v>15694.45</v>
      </c>
      <c r="D14" s="60">
        <v>12534.44</v>
      </c>
      <c r="E14" s="60">
        <v>11661.47</v>
      </c>
      <c r="F14" s="60">
        <v>10101.86</v>
      </c>
      <c r="G14" s="60">
        <v>52477.18</v>
      </c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550000</v>
      </c>
      <c r="C17" s="60">
        <v>860900</v>
      </c>
      <c r="D17" s="60">
        <v>1025056.86</v>
      </c>
      <c r="E17" s="60">
        <v>1479966.94</v>
      </c>
      <c r="F17" s="60">
        <v>3916444.41</v>
      </c>
      <c r="G17" s="60">
        <v>4307123.57</v>
      </c>
    </row>
    <row r="18" spans="1:7" x14ac:dyDescent="0.25">
      <c r="A18" s="53" t="s">
        <v>478</v>
      </c>
      <c r="B18" s="60"/>
      <c r="C18" s="60"/>
      <c r="D18" s="60">
        <v>980000</v>
      </c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550000</v>
      </c>
      <c r="C31" s="61">
        <f t="shared" ref="C31:G31" si="3">C7+C21+C28</f>
        <v>876594.45</v>
      </c>
      <c r="D31" s="61">
        <f t="shared" si="3"/>
        <v>2017591.2999999998</v>
      </c>
      <c r="E31" s="61">
        <f t="shared" si="3"/>
        <v>1491628.41</v>
      </c>
      <c r="F31" s="61">
        <f t="shared" si="3"/>
        <v>3926546.27</v>
      </c>
      <c r="G31" s="61">
        <f t="shared" si="3"/>
        <v>4359600.75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>
        <v>171653.43</v>
      </c>
      <c r="G34" s="60">
        <v>1433258.86</v>
      </c>
    </row>
    <row r="35" spans="1:7" ht="30" x14ac:dyDescent="0.25">
      <c r="A35" s="57" t="s">
        <v>488</v>
      </c>
      <c r="B35" s="60"/>
      <c r="C35" s="60"/>
      <c r="D35" s="60">
        <v>-165064.18</v>
      </c>
      <c r="E35" s="60">
        <v>36984.949999999997</v>
      </c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-165064.18</v>
      </c>
      <c r="E36" s="61">
        <f t="shared" si="4"/>
        <v>36984.949999999997</v>
      </c>
      <c r="F36" s="61">
        <f t="shared" si="4"/>
        <v>171653.43</v>
      </c>
      <c r="G36" s="61">
        <f t="shared" si="4"/>
        <v>1433258.86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550000</v>
      </c>
      <c r="Q2" s="18">
        <f>'Formato 7 c)'!C7</f>
        <v>876594.45</v>
      </c>
      <c r="R2" s="18">
        <f>'Formato 7 c)'!D7</f>
        <v>2017591.2999999998</v>
      </c>
      <c r="S2" s="18">
        <f>'Formato 7 c)'!E7</f>
        <v>1491628.41</v>
      </c>
      <c r="T2" s="18">
        <f>'Formato 7 c)'!F7</f>
        <v>3926546.27</v>
      </c>
      <c r="U2" s="18">
        <f>'Formato 7 c)'!G7</f>
        <v>4359600.75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15694.45</v>
      </c>
      <c r="R9" s="18">
        <f>'Formato 7 c)'!D14</f>
        <v>12534.44</v>
      </c>
      <c r="S9" s="18">
        <f>'Formato 7 c)'!E14</f>
        <v>11661.47</v>
      </c>
      <c r="T9" s="18">
        <f>'Formato 7 c)'!F14</f>
        <v>10101.86</v>
      </c>
      <c r="U9" s="18">
        <f>'Formato 7 c)'!G14</f>
        <v>52477.18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550000</v>
      </c>
      <c r="Q12" s="18">
        <f>'Formato 7 c)'!C17</f>
        <v>860900</v>
      </c>
      <c r="R12" s="18">
        <f>'Formato 7 c)'!D17</f>
        <v>1025056.86</v>
      </c>
      <c r="S12" s="18">
        <f>'Formato 7 c)'!E17</f>
        <v>1479966.94</v>
      </c>
      <c r="T12" s="18">
        <f>'Formato 7 c)'!F17</f>
        <v>3916444.41</v>
      </c>
      <c r="U12" s="18">
        <f>'Formato 7 c)'!G17</f>
        <v>4307123.57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980000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550000</v>
      </c>
      <c r="Q23" s="18">
        <f>'Formato 7 c)'!C31</f>
        <v>876594.45</v>
      </c>
      <c r="R23" s="18">
        <f>'Formato 7 c)'!D31</f>
        <v>2017591.2999999998</v>
      </c>
      <c r="S23" s="18">
        <f>'Formato 7 c)'!E31</f>
        <v>1491628.41</v>
      </c>
      <c r="T23" s="18">
        <f>'Formato 7 c)'!F31</f>
        <v>3926546.27</v>
      </c>
      <c r="U23" s="18">
        <f>'Formato 7 c)'!G31</f>
        <v>4359600.75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171653.43</v>
      </c>
      <c r="U25" s="18">
        <f>'Formato 7 c)'!G34</f>
        <v>1433258.86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-165064.18</v>
      </c>
      <c r="S26" s="18">
        <f>'Formato 7 c)'!E35</f>
        <v>36984.949999999997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-165064.18</v>
      </c>
      <c r="S27" s="18">
        <f>'Formato 7 c)'!E36</f>
        <v>36984.949999999997</v>
      </c>
      <c r="T27" s="18">
        <f>'Formato 7 c)'!F36</f>
        <v>171653.43</v>
      </c>
      <c r="U27" s="18">
        <f>'Formato 7 c)'!G36</f>
        <v>1433258.86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view="pageBreakPreview" topLeftCell="A4" zoomScale="60" zoomScaleNormal="90" workbookViewId="0">
      <pane ySplit="3" topLeftCell="A7" activePane="bottomLeft" state="frozen"/>
      <selection activeCell="A4" sqref="A4"/>
      <selection pane="bottomLeft"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Miguel de Allende,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2015 ¹ (c)</v>
      </c>
      <c r="C5" s="186" t="str">
        <f>ANIO4R</f>
        <v>2016 ¹ (c)</v>
      </c>
      <c r="D5" s="186" t="str">
        <f>ANIO3R</f>
        <v>2017 ¹ (c)</v>
      </c>
      <c r="E5" s="186" t="str">
        <f>ANIO2R</f>
        <v>2018 ¹ (c)</v>
      </c>
      <c r="F5" s="186" t="str">
        <f>ANIO1R</f>
        <v>2019 ¹ (c)</v>
      </c>
      <c r="G5" s="51">
        <f>ANIO_INFORME</f>
        <v>2020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508244.32</v>
      </c>
      <c r="C7" s="59">
        <f t="shared" ref="C7:G7" si="0">SUM(C8:C16)</f>
        <v>978879.58</v>
      </c>
      <c r="D7" s="59">
        <f t="shared" si="0"/>
        <v>1049706.81</v>
      </c>
      <c r="E7" s="59">
        <f t="shared" si="0"/>
        <v>1326113.4300000002</v>
      </c>
      <c r="F7" s="59">
        <f t="shared" si="0"/>
        <v>2952775.96</v>
      </c>
      <c r="G7" s="59">
        <f t="shared" si="0"/>
        <v>3766152.6799999997</v>
      </c>
    </row>
    <row r="8" spans="1:7" x14ac:dyDescent="0.25">
      <c r="A8" s="53" t="s">
        <v>454</v>
      </c>
      <c r="B8" s="60">
        <v>446932.53</v>
      </c>
      <c r="C8" s="60">
        <v>761639.36</v>
      </c>
      <c r="D8" s="60">
        <v>873101.71</v>
      </c>
      <c r="E8" s="60">
        <v>1067418.6900000002</v>
      </c>
      <c r="F8" s="60">
        <v>2121045.92</v>
      </c>
      <c r="G8" s="60">
        <v>2927905.3</v>
      </c>
    </row>
    <row r="9" spans="1:7" x14ac:dyDescent="0.25">
      <c r="A9" s="53" t="s">
        <v>455</v>
      </c>
      <c r="B9" s="60">
        <v>33933.730000000003</v>
      </c>
      <c r="C9" s="60">
        <v>65964.63</v>
      </c>
      <c r="D9" s="60">
        <v>52470.74</v>
      </c>
      <c r="E9" s="60">
        <v>72706.05</v>
      </c>
      <c r="F9" s="60">
        <v>79675.570000000007</v>
      </c>
      <c r="G9" s="60">
        <v>84331.83</v>
      </c>
    </row>
    <row r="10" spans="1:7" x14ac:dyDescent="0.25">
      <c r="A10" s="53" t="s">
        <v>456</v>
      </c>
      <c r="B10" s="60">
        <v>22463.48</v>
      </c>
      <c r="C10" s="60">
        <v>78789.600000000006</v>
      </c>
      <c r="D10" s="60">
        <v>106629.36</v>
      </c>
      <c r="E10" s="60">
        <v>117574.60999999999</v>
      </c>
      <c r="F10" s="60">
        <v>214511.46000000002</v>
      </c>
      <c r="G10" s="60">
        <v>327943.51</v>
      </c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>
        <v>4914.58</v>
      </c>
      <c r="C12" s="60">
        <v>72485.990000000005</v>
      </c>
      <c r="D12" s="60">
        <v>17505</v>
      </c>
      <c r="E12" s="60">
        <v>68414.080000000002</v>
      </c>
      <c r="F12" s="60">
        <v>537543.01</v>
      </c>
      <c r="G12" s="60">
        <v>425972.04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508244.32</v>
      </c>
      <c r="C29" s="60">
        <f t="shared" ref="C29:G29" si="2">C7+C18</f>
        <v>978879.58</v>
      </c>
      <c r="D29" s="60">
        <f t="shared" si="2"/>
        <v>1049706.81</v>
      </c>
      <c r="E29" s="60">
        <f t="shared" si="2"/>
        <v>1326113.4300000002</v>
      </c>
      <c r="F29" s="60">
        <f t="shared" si="2"/>
        <v>2952775.96</v>
      </c>
      <c r="G29" s="60">
        <f t="shared" si="2"/>
        <v>3766152.6799999997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pageSetup paperSize="9" scale="4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508244.32</v>
      </c>
      <c r="Q2" s="18">
        <f>'Formato 7 d)'!C7</f>
        <v>978879.58</v>
      </c>
      <c r="R2" s="18">
        <f>'Formato 7 d)'!D7</f>
        <v>1049706.81</v>
      </c>
      <c r="S2" s="18">
        <f>'Formato 7 d)'!E7</f>
        <v>1326113.4300000002</v>
      </c>
      <c r="T2" s="18">
        <f>'Formato 7 d)'!F7</f>
        <v>2952775.96</v>
      </c>
      <c r="U2" s="18">
        <f>'Formato 7 d)'!G7</f>
        <v>3766152.6799999997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446932.53</v>
      </c>
      <c r="Q3" s="18">
        <f>'Formato 7 d)'!C8</f>
        <v>761639.36</v>
      </c>
      <c r="R3" s="18">
        <f>'Formato 7 d)'!D8</f>
        <v>873101.71</v>
      </c>
      <c r="S3" s="18">
        <f>'Formato 7 d)'!E8</f>
        <v>1067418.6900000002</v>
      </c>
      <c r="T3" s="18">
        <f>'Formato 7 d)'!F8</f>
        <v>2121045.92</v>
      </c>
      <c r="U3" s="18">
        <f>'Formato 7 d)'!G8</f>
        <v>2927905.3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33933.730000000003</v>
      </c>
      <c r="Q4" s="18">
        <f>'Formato 7 d)'!C9</f>
        <v>65964.63</v>
      </c>
      <c r="R4" s="18">
        <f>'Formato 7 d)'!D9</f>
        <v>52470.74</v>
      </c>
      <c r="S4" s="18">
        <f>'Formato 7 d)'!E9</f>
        <v>72706.05</v>
      </c>
      <c r="T4" s="18">
        <f>'Formato 7 d)'!F9</f>
        <v>79675.570000000007</v>
      </c>
      <c r="U4" s="18">
        <f>'Formato 7 d)'!G9</f>
        <v>84331.83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22463.48</v>
      </c>
      <c r="Q5" s="18">
        <f>'Formato 7 d)'!C10</f>
        <v>78789.600000000006</v>
      </c>
      <c r="R5" s="18">
        <f>'Formato 7 d)'!D10</f>
        <v>106629.36</v>
      </c>
      <c r="S5" s="18">
        <f>'Formato 7 d)'!E10</f>
        <v>117574.60999999999</v>
      </c>
      <c r="T5" s="18">
        <f>'Formato 7 d)'!F10</f>
        <v>214511.46000000002</v>
      </c>
      <c r="U5" s="18">
        <f>'Formato 7 d)'!G10</f>
        <v>327943.51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4914.58</v>
      </c>
      <c r="Q7" s="18">
        <f>'Formato 7 d)'!C12</f>
        <v>72485.990000000005</v>
      </c>
      <c r="R7" s="18">
        <f>'Formato 7 d)'!D12</f>
        <v>17505</v>
      </c>
      <c r="S7" s="18">
        <f>'Formato 7 d)'!E12</f>
        <v>68414.080000000002</v>
      </c>
      <c r="T7" s="18">
        <f>'Formato 7 d)'!F12</f>
        <v>537543.01</v>
      </c>
      <c r="U7" s="18">
        <f>'Formato 7 d)'!G12</f>
        <v>425972.04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508244.32</v>
      </c>
      <c r="Q22" s="18">
        <f>'Formato 7 d)'!C29</f>
        <v>978879.58</v>
      </c>
      <c r="R22" s="18">
        <f>'Formato 7 d)'!D29</f>
        <v>1049706.81</v>
      </c>
      <c r="S22" s="18">
        <f>'Formato 7 d)'!E29</f>
        <v>1326113.4300000002</v>
      </c>
      <c r="T22" s="18">
        <f>'Formato 7 d)'!F29</f>
        <v>2952775.96</v>
      </c>
      <c r="U22" s="18">
        <f>'Formato 7 d)'!G29</f>
        <v>3766152.6799999997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view="pageBreakPreview" zoomScale="60" zoomScaleNormal="90" workbookViewId="0">
      <selection activeCell="B11" sqref="B1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PLANEACION DE SAN MIGUEL DE ALLENDE,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view="pageBreakPreview" topLeftCell="A46" zoomScale="60" zoomScaleNormal="80" workbookViewId="0">
      <selection activeCell="D26" sqref="D2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2019 y al 31 de diciembre de 2020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1981646.49</v>
      </c>
      <c r="C9" s="60">
        <f>SUM(C10:C16)</f>
        <v>1348141.38</v>
      </c>
      <c r="D9" s="100" t="s">
        <v>54</v>
      </c>
      <c r="E9" s="60">
        <f>SUM(E10:E18)</f>
        <v>129695.37999999999</v>
      </c>
      <c r="F9" s="60">
        <f>SUM(F10:F18)</f>
        <v>89638.33</v>
      </c>
    </row>
    <row r="10" spans="1:6" x14ac:dyDescent="0.25">
      <c r="A10" s="96" t="s">
        <v>4</v>
      </c>
      <c r="B10" s="60"/>
      <c r="C10" s="60"/>
      <c r="D10" s="101" t="s">
        <v>55</v>
      </c>
      <c r="E10" s="60">
        <v>-0.02</v>
      </c>
      <c r="F10" s="60">
        <v>-0.02</v>
      </c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1981646.49</v>
      </c>
      <c r="C12" s="60">
        <v>1348141.38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129695.4</v>
      </c>
      <c r="F16" s="60">
        <v>89638.35</v>
      </c>
    </row>
    <row r="17" spans="1:6" x14ac:dyDescent="0.25">
      <c r="A17" s="95" t="s">
        <v>11</v>
      </c>
      <c r="B17" s="60">
        <f>SUM(B18:B24)</f>
        <v>1.0000000009313226E-2</v>
      </c>
      <c r="C17" s="60">
        <f>SUM(C18:C24)</f>
        <v>0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72751.710000000006</v>
      </c>
      <c r="C19" s="60">
        <v>72751.710000000006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-72751.7</v>
      </c>
      <c r="C24" s="60">
        <v>-72751.710000000006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1981646.5</v>
      </c>
      <c r="C47" s="61">
        <f>C9+C17+C25+C31+C38+C41</f>
        <v>1348141.38</v>
      </c>
      <c r="D47" s="99" t="s">
        <v>91</v>
      </c>
      <c r="E47" s="61">
        <f>E9+E19+E23+E26+E27+E31+E38+E42</f>
        <v>129695.37999999999</v>
      </c>
      <c r="F47" s="61">
        <f>F9+F19+F23+F26+F27+F31+F38+F42</f>
        <v>89638.33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60">
        <v>1124106.21</v>
      </c>
      <c r="C53" s="60">
        <v>698134.17</v>
      </c>
      <c r="D53" s="100" t="s">
        <v>96</v>
      </c>
      <c r="E53" s="60"/>
      <c r="F53" s="60"/>
    </row>
    <row r="54" spans="1:6" x14ac:dyDescent="0.25">
      <c r="A54" s="95" t="s">
        <v>45</v>
      </c>
      <c r="B54" s="60"/>
      <c r="C54" s="60"/>
      <c r="D54" s="100" t="s">
        <v>97</v>
      </c>
      <c r="E54" s="60"/>
      <c r="F54" s="60"/>
    </row>
    <row r="55" spans="1:6" x14ac:dyDescent="0.25">
      <c r="A55" s="95" t="s">
        <v>46</v>
      </c>
      <c r="B55" s="60">
        <v>-315946.40000000002</v>
      </c>
      <c r="C55" s="60">
        <v>-156269.76000000001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129695.37999999999</v>
      </c>
      <c r="F59" s="61">
        <f>F47+F57</f>
        <v>89638.33</v>
      </c>
    </row>
    <row r="60" spans="1:6" x14ac:dyDescent="0.25">
      <c r="A60" s="55" t="s">
        <v>50</v>
      </c>
      <c r="B60" s="61">
        <f>SUM(B50:B58)</f>
        <v>808159.80999999994</v>
      </c>
      <c r="C60" s="61">
        <f>SUM(C50:C58)</f>
        <v>541864.41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2789806.31</v>
      </c>
      <c r="C62" s="61">
        <f>SUM(C47+C60)</f>
        <v>1890005.79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2660110.9299999997</v>
      </c>
      <c r="F68" s="77">
        <f>SUM(F69:F73)</f>
        <v>1800367.46</v>
      </c>
    </row>
    <row r="69" spans="1:6" x14ac:dyDescent="0.25">
      <c r="A69" s="12"/>
      <c r="B69" s="54"/>
      <c r="C69" s="54"/>
      <c r="D69" s="103" t="s">
        <v>107</v>
      </c>
      <c r="E69" s="77">
        <v>859743.47</v>
      </c>
      <c r="F69" s="77">
        <v>1338383.4099999999</v>
      </c>
    </row>
    <row r="70" spans="1:6" x14ac:dyDescent="0.25">
      <c r="A70" s="12"/>
      <c r="B70" s="54"/>
      <c r="C70" s="54"/>
      <c r="D70" s="103" t="s">
        <v>108</v>
      </c>
      <c r="E70" s="77">
        <v>1800367.46</v>
      </c>
      <c r="F70" s="77">
        <v>461984.05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2660110.9299999997</v>
      </c>
      <c r="F79" s="61">
        <f>F63+F68+F75</f>
        <v>1800367.46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2789806.3099999996</v>
      </c>
      <c r="F81" s="61">
        <f>F59+F79</f>
        <v>1890005.79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1981646.49</v>
      </c>
      <c r="Q4" s="18">
        <f>'Formato 1'!C9</f>
        <v>1348141.38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1981646.49</v>
      </c>
      <c r="Q7" s="18">
        <f>'Formato 1'!C12</f>
        <v>1348141.38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1.0000000009313226E-2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72751.710000000006</v>
      </c>
      <c r="Q14" s="18">
        <f>'Formato 1'!C19</f>
        <v>72751.710000000006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-72751.7</v>
      </c>
      <c r="Q19" s="18">
        <f>'Formato 1'!C24</f>
        <v>-72751.710000000006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1981646.5</v>
      </c>
      <c r="Q42" s="18">
        <f>'Formato 1'!C47</f>
        <v>1348141.38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1124106.21</v>
      </c>
      <c r="Q47">
        <f>'Formato 1'!C53</f>
        <v>698134.17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-315946.40000000002</v>
      </c>
      <c r="Q49">
        <f>'Formato 1'!C55</f>
        <v>-156269.76000000001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808159.80999999994</v>
      </c>
      <c r="Q53">
        <f>'Formato 1'!C60</f>
        <v>541864.41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2789806.31</v>
      </c>
      <c r="Q54">
        <f>'Formato 1'!C62</f>
        <v>1890005.79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129695.37999999999</v>
      </c>
      <c r="Q57">
        <f>'Formato 1'!F9</f>
        <v>89638.33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-0.02</v>
      </c>
      <c r="Q58">
        <f>'Formato 1'!F10</f>
        <v>-0.02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129695.4</v>
      </c>
      <c r="Q64">
        <f>'Formato 1'!F16</f>
        <v>89638.35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129695.37999999999</v>
      </c>
      <c r="Q95">
        <f>'Formato 1'!F47</f>
        <v>89638.33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129695.37999999999</v>
      </c>
      <c r="Q104">
        <f>'Formato 1'!F59</f>
        <v>89638.33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2660110.9299999997</v>
      </c>
      <c r="Q110">
        <f>'Formato 1'!F68</f>
        <v>1800367.46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859743.47</v>
      </c>
      <c r="Q111">
        <f>'Formato 1'!F69</f>
        <v>1338383.4099999999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1800367.46</v>
      </c>
      <c r="Q112">
        <f>'Formato 1'!F70</f>
        <v>461984.05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2660110.9299999997</v>
      </c>
      <c r="Q119">
        <f>'Formato 1'!F79</f>
        <v>1800367.46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2789806.3099999996</v>
      </c>
      <c r="Q120">
        <f>'Formato 1'!F81</f>
        <v>1890005.79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view="pageBreakPreview" topLeftCell="A11" zoomScale="60" zoomScaleNormal="90" workbookViewId="0">
      <selection activeCell="B43" sqref="B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2019 y al 31 de diciembre de 2020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 t="s">
        <v>3305</v>
      </c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view="pageBreakPreview" zoomScale="6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PLANEACION DE SAN MIGUEL DE ALLENDE,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2020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  <pageSetup paperSize="9" scale="2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Jessica Salgado</cp:lastModifiedBy>
  <cp:lastPrinted>2021-02-23T15:46:53Z</cp:lastPrinted>
  <dcterms:created xsi:type="dcterms:W3CDTF">2017-01-19T17:59:06Z</dcterms:created>
  <dcterms:modified xsi:type="dcterms:W3CDTF">2021-02-23T15:47:46Z</dcterms:modified>
</cp:coreProperties>
</file>